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35" windowWidth="13980" windowHeight="8835" activeTab="0"/>
  </bookViews>
  <sheets>
    <sheet name="Einleitung" sheetId="1" r:id="rId1"/>
    <sheet name="Wertetabelle" sheetId="2" r:id="rId2"/>
    <sheet name="GuV" sheetId="3" r:id="rId3"/>
    <sheet name="Bilanz" sheetId="4" r:id="rId4"/>
    <sheet name="Kennzahlen" sheetId="5" r:id="rId5"/>
    <sheet name="Finanzmodell Basis" sheetId="6" r:id="rId6"/>
    <sheet name="Finanzmodell" sheetId="7" r:id="rId7"/>
  </sheets>
  <definedNames>
    <definedName name="_xlnm.Print_Area" localSheetId="3">'Bilanz'!$A$1:$H$37</definedName>
    <definedName name="_xlnm.Print_Area" localSheetId="0">'Einleitung'!$A$1:$O$11</definedName>
    <definedName name="_xlnm.Print_Area" localSheetId="6">'Finanzmodell'!$A$1:$I$29</definedName>
    <definedName name="_xlnm.Print_Area" localSheetId="5">'Finanzmodell Basis'!$A$1:$H$41</definedName>
    <definedName name="_xlnm.Print_Area" localSheetId="2">'GuV'!$A$1:$H$40</definedName>
    <definedName name="_xlnm.Print_Area" localSheetId="4">'Kennzahlen'!$A$1:$H$36</definedName>
    <definedName name="_xlnm.Print_Area" localSheetId="1">'Wertetabelle'!$A$1:$J$72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Moritz Regnier</author>
  </authors>
  <commentList>
    <comment ref="D27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langfristige Anleihe
</t>
        </r>
      </text>
    </comment>
    <comment ref="D28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Kredit 6 Jahre Laufzeit</t>
        </r>
      </text>
    </comment>
    <comment ref="D29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siehe Lieferantenziel [kurzfristig]
</t>
        </r>
      </text>
    </comment>
    <comment ref="D30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mittelfristig</t>
        </r>
      </text>
    </comment>
    <comment ref="D31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kurzfristige Verbindlichkeiten</t>
        </r>
      </text>
    </comment>
    <comment ref="D25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ausschließlich langfristig [Pensionen, etc. ...]</t>
        </r>
      </text>
    </comment>
    <comment ref="E24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Dieser Wert wird in der GuV zusammengestellt =&gt; bitte nicht hier verändern</t>
        </r>
      </text>
    </comment>
    <comment ref="E33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Diesen Wert nicht manuell ändern
</t>
        </r>
      </text>
    </comment>
    <comment ref="F33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Diesen Wert nicht manuell ändern</t>
        </r>
      </text>
    </comment>
    <comment ref="E67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Diesen Wert nicht manuell ändern
</t>
        </r>
      </text>
    </comment>
    <comment ref="F67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Diesen Wert nicht manuell ändern</t>
        </r>
      </text>
    </comment>
    <comment ref="E16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Diesen Wert nicht manuell ändern</t>
        </r>
      </text>
    </comment>
    <comment ref="F16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Diesen Wert nicht manuell ändern</t>
        </r>
      </text>
    </comment>
  </commentList>
</comments>
</file>

<file path=xl/comments5.xml><?xml version="1.0" encoding="utf-8"?>
<comments xmlns="http://schemas.openxmlformats.org/spreadsheetml/2006/main">
  <authors>
    <author>Moritz Regnier</author>
  </authors>
  <commentList>
    <comment ref="E29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kurzfristige Verbindlichkeiten sind hier Verb. aus LuL + sonstige</t>
        </r>
      </text>
    </comment>
    <comment ref="E30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Verbindlichkeiten sind hier Verb. aus LuL +  Annahme von Wechsel + sonstige Verb.</t>
        </r>
      </text>
    </comment>
    <comment ref="D8" authorId="0">
      <text>
        <r>
          <rPr>
            <b/>
            <sz val="8"/>
            <rFont val="Tahoma"/>
            <family val="0"/>
          </rPr>
          <t>Moritz Regnier:</t>
        </r>
        <r>
          <rPr>
            <sz val="8"/>
            <rFont val="Tahoma"/>
            <family val="0"/>
          </rPr>
          <t xml:space="preserve">
Gilt nur bei dem Gesamtkostenverfahren</t>
        </r>
      </text>
    </comment>
  </commentList>
</comments>
</file>

<file path=xl/sharedStrings.xml><?xml version="1.0" encoding="utf-8"?>
<sst xmlns="http://schemas.openxmlformats.org/spreadsheetml/2006/main" count="340" uniqueCount="194">
  <si>
    <t>A.</t>
  </si>
  <si>
    <t>Anlagevermögen:</t>
  </si>
  <si>
    <t>I.</t>
  </si>
  <si>
    <t>Immaterielle Vermögensgegenstände:</t>
  </si>
  <si>
    <t>II.</t>
  </si>
  <si>
    <t>Sachanlagen:</t>
  </si>
  <si>
    <t>III.</t>
  </si>
  <si>
    <t>Finanzanlagen:</t>
  </si>
  <si>
    <t>B.</t>
  </si>
  <si>
    <t>Umlaufvermögen:</t>
  </si>
  <si>
    <t>Vorräte:</t>
  </si>
  <si>
    <t>Forderungen und sonstige Vermögensgegenstände:</t>
  </si>
  <si>
    <t>Wertpapiere:</t>
  </si>
  <si>
    <t>IV.</t>
  </si>
  <si>
    <t>Kassenbestand, Bundesbankguthaben, Guthaben bei Kreditinstituten und Schecks.</t>
  </si>
  <si>
    <t>C.</t>
  </si>
  <si>
    <t>Rechnungsabgrenzungsposten.</t>
  </si>
  <si>
    <t>Aktiva</t>
  </si>
  <si>
    <t>Geschäftsjahr</t>
  </si>
  <si>
    <t>Vorjahr</t>
  </si>
  <si>
    <t>Passiva</t>
  </si>
  <si>
    <t>Eigenkapital:</t>
  </si>
  <si>
    <t>Gezeichnetes Kapital;</t>
  </si>
  <si>
    <t>Kapitalrücklage;</t>
  </si>
  <si>
    <t>Gewinnrücklagen:</t>
  </si>
  <si>
    <t>Gewinnvortrag/Verlustvortrag;</t>
  </si>
  <si>
    <t>V.</t>
  </si>
  <si>
    <t>Jahresüberschuß/Jahresfehlbetrag.</t>
  </si>
  <si>
    <t>Rückstellungen:</t>
  </si>
  <si>
    <t>Verbindlichkeiten:</t>
  </si>
  <si>
    <t>D.</t>
  </si>
  <si>
    <t>1. Umsatzerlöse</t>
  </si>
  <si>
    <t>2. Erhöhung oder Verminderung des Bestands an fertigen und unfertigen Erzeugnissen</t>
  </si>
  <si>
    <t>3. andere aktivierte Eigenleistungen</t>
  </si>
  <si>
    <t>4. sonstige betriebliche Erträge</t>
  </si>
  <si>
    <t>5. Materialaufwand:</t>
  </si>
  <si>
    <t>a) Aufwendungen für Roh-, Hilfs- und Betriebsstoffe und für bezogene Waren</t>
  </si>
  <si>
    <t>b) Aufwendungen für bezogene Leistungen</t>
  </si>
  <si>
    <t>6. Personalaufwand:</t>
  </si>
  <si>
    <t>a) Löhne und Gehälter</t>
  </si>
  <si>
    <t>b) soziale Abgaben und Aufwendungen für Altersversorgung und für Unterstützung, davon für Altersversorgung</t>
  </si>
  <si>
    <t>7. Abschreibungen:</t>
  </si>
  <si>
    <t>a) auf immaterielle Vermögensgegenstände des Anlagevermögens und Sachanlagen sowie auf aktivierte Aufwendungen für die Ingangsetzung und Erweiterung des Geschäftsbetriebs</t>
  </si>
  <si>
    <t>b) auf Vermögensgegenstände des Umlaufvermögens, soweit diese die in der Kapitalgesellschaft üblichen Abschreibungen überschreiten</t>
  </si>
  <si>
    <t>8. sonstige betriebliche Aufwendungen</t>
  </si>
  <si>
    <t>9. Erträge aus Beteiligungen,</t>
  </si>
  <si>
    <t>davon aus verbundenen Unternehmen</t>
  </si>
  <si>
    <t>10. Erträge aus anderen Wertpapieren und Ausleihungen des Finanzanlagevermögens,</t>
  </si>
  <si>
    <t>11. sonstige Zinsen und ähnliche Erträge,</t>
  </si>
  <si>
    <t>12. Abschreibungen auf Finanzanlagen und auf Wertpapiere des Umlaufvermögens</t>
  </si>
  <si>
    <t>13. Zinsen und ähnliche Aufwendungen,</t>
  </si>
  <si>
    <t>davon an verbundene Unternehmen</t>
  </si>
  <si>
    <t>14. Ergebnis der gewöhnlichen Geschäftstätigkeit</t>
  </si>
  <si>
    <t>15. außerordentliche Erträge</t>
  </si>
  <si>
    <t>16. außerordentliche Aufwendungen</t>
  </si>
  <si>
    <t>17. außerordentliches Ergebnis</t>
  </si>
  <si>
    <t>18. Steuern vom Einkommen und vom Ertrag</t>
  </si>
  <si>
    <t>19. sonstige Steuern</t>
  </si>
  <si>
    <t>20. Jahresüberschuß/Jahresfehlbetrag</t>
  </si>
  <si>
    <t>Gewinn- und Verlustrechnung</t>
  </si>
  <si>
    <t>Tabelle für Ursprungswerte</t>
  </si>
  <si>
    <t>Bilanz</t>
  </si>
  <si>
    <t>Probe:</t>
  </si>
  <si>
    <t>Achtung unterschiedliche Bilanzsumme</t>
  </si>
  <si>
    <t>Moritz@regnier.de</t>
  </si>
  <si>
    <t>http://fhdw.regnier.de</t>
  </si>
  <si>
    <t>http://moritz.regnier.de</t>
  </si>
  <si>
    <r>
      <t>Hallo,</t>
    </r>
    <r>
      <rPr>
        <sz val="10"/>
        <rFont val="Arial"/>
        <family val="2"/>
      </rPr>
      <t xml:space="preserve">
Dies ist eine kleine Einleitung zu den nachfolgenden Arbeitsblättern.
</t>
    </r>
    <r>
      <rPr>
        <u val="single"/>
        <sz val="10"/>
        <rFont val="Arial"/>
        <family val="2"/>
      </rPr>
      <t>Ziel und Zweck:</t>
    </r>
    <r>
      <rPr>
        <sz val="10"/>
        <rFont val="Arial"/>
        <family val="2"/>
      </rPr>
      <t xml:space="preserve">
Ziel und Zweck dieses Dokuments ist, allen die sich mit Bilanzierung, Controlling, Rechnungswesen auseinandersetzen ein Übungs-Werkzeug zu geben:
a) Zusammenhänge zwischen Bilanz, GuV und Kennzahlen erkennen
b) schnell und einfach Übungs-Bilanzen/-GuV’s erstellen
c) automatische Lösungserstellung für Kennzahlenanalyse
Die Bedeutung der Arbeitsblätter und die Reihenfolge der Bearbeitung ist der </t>
    </r>
    <r>
      <rPr>
        <u val="single"/>
        <sz val="10"/>
        <rFont val="Arial"/>
        <family val="2"/>
      </rPr>
      <t>Legende</t>
    </r>
    <r>
      <rPr>
        <sz val="10"/>
        <rFont val="Arial"/>
        <family val="2"/>
      </rPr>
      <t xml:space="preserve"> zu entnehmen. 
Viel Spaß und Erfolg damit.
Cheers Moritz</t>
    </r>
  </si>
  <si>
    <t>Einleitung</t>
  </si>
  <si>
    <t>Legende</t>
  </si>
  <si>
    <t>Bilanz Aktiva</t>
  </si>
  <si>
    <t>Bilanz Passiva</t>
  </si>
  <si>
    <t>Summe:</t>
  </si>
  <si>
    <t>Scrollbalken für das Geschäftsjahr</t>
  </si>
  <si>
    <t>Ges.-jahr</t>
  </si>
  <si>
    <t>Achtung Bil.-summe</t>
  </si>
  <si>
    <t>Kennzahlen</t>
  </si>
  <si>
    <t>Eigenkapitalrentabilität</t>
  </si>
  <si>
    <t xml:space="preserve">= (Jahresüberschuß + Einkommen- u. Ertragsteuern) / Eigenkapital x 100% </t>
  </si>
  <si>
    <t>Gesamtkapitalrentabilität</t>
  </si>
  <si>
    <t>= Jahresüberschuß + Zinsen + Einkommen- u. Ertragsteuern / Gesamtkapital x 100%</t>
  </si>
  <si>
    <t>Betriebsrentabilität</t>
  </si>
  <si>
    <t>= Umsatzrentabilität x Kapitalumschlag</t>
  </si>
  <si>
    <t>Umsatzrentabilität</t>
  </si>
  <si>
    <t>= ordentliches Betriebsergebnis / Betriebsleistung x 100%</t>
  </si>
  <si>
    <t>Kapitalumschlag</t>
  </si>
  <si>
    <t>= Betriebsleistung / betriebsnotwendiges Vermögen</t>
  </si>
  <si>
    <t>Materialintensität</t>
  </si>
  <si>
    <t>= Materialaufwand / Betriebsleistung x 100%</t>
  </si>
  <si>
    <t>Personalintensität</t>
  </si>
  <si>
    <t xml:space="preserve">= Personalaufwand / Betriebsleistung x 100% </t>
  </si>
  <si>
    <t>Abschreibungsquote</t>
  </si>
  <si>
    <t>= Abschreibungen / Betriebsleistung x 100%</t>
  </si>
  <si>
    <t>Vorratsintensität</t>
  </si>
  <si>
    <t>= Vorräte / Umsatzerlöse x 100%</t>
  </si>
  <si>
    <t>Anlagenintensität</t>
  </si>
  <si>
    <t>= (betriebsnotwendiges) Anlagevermögen / Gesamtvermögen x 100%</t>
  </si>
  <si>
    <t>Arbeitsintensität</t>
  </si>
  <si>
    <t>= (betriebsnotwendiges) Umlaufvermögen / Gesamtvermögen x 100%</t>
  </si>
  <si>
    <t>Lagerumschlag</t>
  </si>
  <si>
    <t>= Ø Bestand an Vorräten / Umsatzerlöse x 365 Tage</t>
  </si>
  <si>
    <t>Kundenziel</t>
  </si>
  <si>
    <t>= Ø Forderungen aus Lieferung und Leistung / Umsatzerlöse x 365 Tage</t>
  </si>
  <si>
    <t>Lieferantenziel</t>
  </si>
  <si>
    <t>= Ø Verbindlichkeiten aus Lieferung und Leistung / Materialaufwand x 365 Tage</t>
  </si>
  <si>
    <t>Eigenkapitalquote</t>
  </si>
  <si>
    <t>Verschuldungsgrad</t>
  </si>
  <si>
    <t>= Fremdkapital (ohne langfristige Rückstellungen) / bereinigtes Eigenkapital x 100%</t>
  </si>
  <si>
    <t>Anlagendeckung A</t>
  </si>
  <si>
    <t>Anlagendeckung B</t>
  </si>
  <si>
    <t>Effektivverschuldung</t>
  </si>
  <si>
    <t>= gesamtes Fremdkapital - Finanzumlaufvermögen</t>
  </si>
  <si>
    <t>Liquidität 2. Grades</t>
  </si>
  <si>
    <t>= Finanzumlaufvermögen / kurzfristige Verbindlichkeiten x 100%</t>
  </si>
  <si>
    <t>Liquidität 3. Grades</t>
  </si>
  <si>
    <t>= Umlaufvermögen / kurzfristige Verbindlichkeiten x 100%</t>
  </si>
  <si>
    <t>Working Capital</t>
  </si>
  <si>
    <t>= Umlaufvermögen - kurzfristige (und mittelfristige) Verbindlichkeiten</t>
  </si>
  <si>
    <t>Cash Flow (einfach)</t>
  </si>
  <si>
    <r>
      <t xml:space="preserve">= Jahresüberschuß + Abschreibungen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Veränderung langfristiger Rückstellungen</t>
    </r>
  </si>
  <si>
    <t>ordentliches Betriebsergebnis</t>
  </si>
  <si>
    <t>Betriebsleistung</t>
  </si>
  <si>
    <t>betriebsnotwendiges Vermögen</t>
  </si>
  <si>
    <t>= Positionen 1. bis 8. in der GuV</t>
  </si>
  <si>
    <t>= Positionen 1. bis 4. in der GuV</t>
  </si>
  <si>
    <t>= Bilanzsumme evtl. - sonstige Vermögensgegenstände und evtl. - Rückstellungen</t>
  </si>
  <si>
    <t>= (bereinigtes) Eigenkapital / Gesamtkapital x 100%</t>
  </si>
  <si>
    <t>= ((bereinigtes) Eigenkapital + langfristiges Fremdkapital) / Anlagevermögen x 100%</t>
  </si>
  <si>
    <t>= bereinigtes Eigenkapital / (Sach-)Anlagevermögen x 100%</t>
  </si>
  <si>
    <t>1.</t>
  </si>
  <si>
    <t>2.</t>
  </si>
  <si>
    <t>3.</t>
  </si>
  <si>
    <t>4.</t>
  </si>
  <si>
    <t>5.</t>
  </si>
  <si>
    <t>Verbindlichkeiten gegenüber Kreditinstituten</t>
  </si>
  <si>
    <t>Verbindlichkeiten aus Lieferungen und Leistungen</t>
  </si>
  <si>
    <t>sonstige Verbindlichkeiten</t>
  </si>
  <si>
    <t>Verbindlichkeiten aus der Annahme gezogener Wechsel und der Ausstellung eigener Wechsel</t>
  </si>
  <si>
    <t>Anleihen</t>
  </si>
  <si>
    <t>Links</t>
  </si>
  <si>
    <t>Wertetabelle</t>
  </si>
  <si>
    <t>GuV</t>
  </si>
  <si>
    <t>Basis des Bilanz- und Finanzmodells</t>
  </si>
  <si>
    <t>Anlagenwert</t>
  </si>
  <si>
    <t>Lagerbestand</t>
  </si>
  <si>
    <t>Lagerzugänge</t>
  </si>
  <si>
    <t>Lagerabgänge</t>
  </si>
  <si>
    <t>Umsatz</t>
  </si>
  <si>
    <t>Einkäufe</t>
  </si>
  <si>
    <t>Anteil der Umsatzwerte</t>
  </si>
  <si>
    <t>Anteil der Einkaufswerte</t>
  </si>
  <si>
    <t>Kredite</t>
  </si>
  <si>
    <t>Neuaufnahme der Kredite</t>
  </si>
  <si>
    <t>Rückzahlung der Kredite</t>
  </si>
  <si>
    <t>Rücklagen</t>
  </si>
  <si>
    <t>Rücklagenzuführung</t>
  </si>
  <si>
    <t>Rücklagenauflösung</t>
  </si>
  <si>
    <t>Ausschüttungen</t>
  </si>
  <si>
    <t>Eigenkapital</t>
  </si>
  <si>
    <t>Sonstige variable Kosten</t>
  </si>
  <si>
    <t>Anlagenzugänge</t>
  </si>
  <si>
    <t>Anlagenabgänge</t>
  </si>
  <si>
    <t>---</t>
  </si>
  <si>
    <t>Verkaufsfaktor</t>
  </si>
  <si>
    <t>Zinssätze</t>
  </si>
  <si>
    <t>in %</t>
  </si>
  <si>
    <t>Ergebnisse des Bilanz- und Finanzmodells</t>
  </si>
  <si>
    <t>Debitorenbestand</t>
  </si>
  <si>
    <t>Kreditorenbestand</t>
  </si>
  <si>
    <t>Kassen-/Bankeinzahlungen</t>
  </si>
  <si>
    <t>Kassen-/Bankauszahlungen</t>
  </si>
  <si>
    <t>Zinsaufwand</t>
  </si>
  <si>
    <t>Bilanzpositionen</t>
  </si>
  <si>
    <t>Kosten und Gewinn vor Steuern</t>
  </si>
  <si>
    <t>Variable Verkaufskosten</t>
  </si>
  <si>
    <t>Ausgabewirksame Kosten</t>
  </si>
  <si>
    <t>Abschreibungen auf Anlagen</t>
  </si>
  <si>
    <t>Abschreibungen auf Lagerbestand</t>
  </si>
  <si>
    <t>Gewinn vor Steuern</t>
  </si>
  <si>
    <t>Faktor der Umsatzwerte</t>
  </si>
  <si>
    <t>Faktor der Einkaufswerte</t>
  </si>
  <si>
    <t>April</t>
  </si>
  <si>
    <t>März</t>
  </si>
  <si>
    <t>Februar</t>
  </si>
  <si>
    <t>Januar</t>
  </si>
  <si>
    <t>Kassen-/Bankbestand</t>
  </si>
  <si>
    <t>Restliche Fixkosten p.m.</t>
  </si>
  <si>
    <t>Abschreibungsfaktor Anlagen p.m.</t>
  </si>
  <si>
    <t>Abschreibungsfaktor Lagerbestand p.m.</t>
  </si>
  <si>
    <t>Durchschnittszinssatz p.m.</t>
  </si>
  <si>
    <t>hier Prognose</t>
  </si>
  <si>
    <r>
      <t xml:space="preserve">Die optimale Bearbeitungsreihenfolge:
</t>
    </r>
    <r>
      <rPr>
        <u val="single"/>
        <sz val="10"/>
        <rFont val="Arial"/>
        <family val="2"/>
      </rPr>
      <t xml:space="preserve">
Wertetabelle</t>
    </r>
    <r>
      <rPr>
        <sz val="10"/>
        <rFont val="Arial"/>
        <family val="2"/>
      </rPr>
      <t xml:space="preserve"> - Anfangswerte
  1. Hauptwerte ändern; d. h. AV, UV, EK, FK
  2. Innenverhältnisse in % anpassen
  3. Feintuning mit Scrollbalken
  3. Letzter Check s. Probe und Bilanzsumme
</t>
    </r>
    <r>
      <rPr>
        <u val="single"/>
        <sz val="10"/>
        <rFont val="Arial"/>
        <family val="2"/>
      </rPr>
      <t>GuV</t>
    </r>
    <r>
      <rPr>
        <sz val="10"/>
        <rFont val="Arial"/>
        <family val="2"/>
      </rPr>
      <t xml:space="preserve"> - Auswertung
</t>
    </r>
    <r>
      <rPr>
        <u val="single"/>
        <sz val="10"/>
        <rFont val="Arial"/>
        <family val="2"/>
      </rPr>
      <t>Bilanz</t>
    </r>
    <r>
      <rPr>
        <sz val="10"/>
        <rFont val="Arial"/>
        <family val="2"/>
      </rPr>
      <t xml:space="preserve"> - Auswertung
</t>
    </r>
    <r>
      <rPr>
        <u val="single"/>
        <sz val="10"/>
        <rFont val="Arial"/>
        <family val="2"/>
      </rPr>
      <t>Kennzahlen</t>
    </r>
    <r>
      <rPr>
        <sz val="10"/>
        <rFont val="Arial"/>
        <family val="2"/>
      </rPr>
      <t xml:space="preserve"> - Auswertung
</t>
    </r>
    <r>
      <rPr>
        <u val="single"/>
        <sz val="10"/>
        <rFont val="Arial"/>
        <family val="2"/>
      </rPr>
      <t>Bilanz-/Finanzmodell</t>
    </r>
    <r>
      <rPr>
        <sz val="10"/>
        <rFont val="Arial"/>
        <family val="2"/>
      </rPr>
      <t xml:space="preserve"> mit Graph (vgl. Fallstudie)
</t>
    </r>
    <r>
      <rPr>
        <u val="single"/>
        <sz val="10"/>
        <rFont val="Arial"/>
        <family val="2"/>
      </rPr>
      <t>Tipp</t>
    </r>
    <r>
      <rPr>
        <sz val="10"/>
        <rFont val="Arial"/>
        <family val="2"/>
      </rPr>
      <t xml:space="preserve">: Erst anfangen, dann rumspielen und dann optimieren!
Feedback bitte an </t>
    </r>
    <r>
      <rPr>
        <i/>
        <sz val="10"/>
        <rFont val="Arial"/>
        <family val="2"/>
      </rPr>
      <t>Moritz@Regnier.de</t>
    </r>
  </si>
  <si>
    <t>Finanzmodell Basis</t>
  </si>
  <si>
    <t>Finanzmodell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</si>
</sst>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#,##0.0"/>
    <numFmt numFmtId="168" formatCode="0.0000%"/>
    <numFmt numFmtId="169" formatCode="0.0"/>
  </numFmts>
  <fonts count="2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4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u val="single"/>
      <sz val="10"/>
      <color indexed="55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23"/>
      <name val="Arial"/>
      <family val="2"/>
    </font>
    <font>
      <b/>
      <sz val="10"/>
      <color indexed="23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62"/>
      <name val="Arial"/>
      <family val="2"/>
    </font>
    <font>
      <sz val="8"/>
      <name val="Arial"/>
      <family val="2"/>
    </font>
    <font>
      <sz val="11.2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3" xfId="0" applyFill="1" applyBorder="1" applyAlignment="1">
      <alignment/>
    </xf>
    <xf numFmtId="0" fontId="0" fillId="2" borderId="0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 indent="1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/>
    </xf>
    <xf numFmtId="0" fontId="0" fillId="2" borderId="8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/>
    </xf>
    <xf numFmtId="0" fontId="0" fillId="2" borderId="13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0" xfId="0" applyFill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3" fontId="1" fillId="2" borderId="17" xfId="0" applyNumberFormat="1" applyFont="1" applyFill="1" applyBorder="1" applyAlignment="1">
      <alignment horizontal="left" vertical="top"/>
    </xf>
    <xf numFmtId="3" fontId="1" fillId="2" borderId="18" xfId="0" applyNumberFormat="1" applyFont="1" applyFill="1" applyBorder="1" applyAlignment="1">
      <alignment horizontal="left" vertical="top"/>
    </xf>
    <xf numFmtId="3" fontId="0" fillId="2" borderId="17" xfId="0" applyNumberFormat="1" applyFont="1" applyFill="1" applyBorder="1" applyAlignment="1">
      <alignment horizontal="left" vertical="top"/>
    </xf>
    <xf numFmtId="3" fontId="0" fillId="2" borderId="18" xfId="0" applyNumberFormat="1" applyFont="1" applyFill="1" applyBorder="1" applyAlignment="1">
      <alignment horizontal="left" vertical="top"/>
    </xf>
    <xf numFmtId="3" fontId="1" fillId="2" borderId="18" xfId="0" applyNumberFormat="1" applyFont="1" applyFill="1" applyBorder="1" applyAlignment="1">
      <alignment vertical="top"/>
    </xf>
    <xf numFmtId="0" fontId="5" fillId="3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0" fontId="0" fillId="2" borderId="14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16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9" fontId="0" fillId="3" borderId="0" xfId="0" applyNumberFormat="1" applyFont="1" applyFill="1" applyAlignment="1">
      <alignment horizontal="left" vertical="top"/>
    </xf>
    <xf numFmtId="3" fontId="2" fillId="2" borderId="10" xfId="0" applyNumberFormat="1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right" vertical="top"/>
    </xf>
    <xf numFmtId="0" fontId="0" fillId="3" borderId="8" xfId="0" applyFont="1" applyFill="1" applyBorder="1" applyAlignment="1">
      <alignment horizontal="left" vertical="top"/>
    </xf>
    <xf numFmtId="9" fontId="0" fillId="3" borderId="19" xfId="0" applyNumberFormat="1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left" vertical="top"/>
    </xf>
    <xf numFmtId="9" fontId="0" fillId="3" borderId="18" xfId="0" applyNumberFormat="1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/>
    </xf>
    <xf numFmtId="3" fontId="2" fillId="2" borderId="6" xfId="0" applyNumberFormat="1" applyFont="1" applyFill="1" applyBorder="1" applyAlignment="1">
      <alignment horizontal="left" vertical="top"/>
    </xf>
    <xf numFmtId="3" fontId="8" fillId="2" borderId="6" xfId="0" applyNumberFormat="1" applyFont="1" applyFill="1" applyBorder="1" applyAlignment="1">
      <alignment horizontal="right" vertical="top"/>
    </xf>
    <xf numFmtId="3" fontId="8" fillId="2" borderId="10" xfId="0" applyNumberFormat="1" applyFont="1" applyFill="1" applyBorder="1" applyAlignment="1">
      <alignment horizontal="right" vertical="top"/>
    </xf>
    <xf numFmtId="0" fontId="7" fillId="3" borderId="0" xfId="0" applyFont="1" applyFill="1" applyAlignment="1">
      <alignment horizontal="left" vertical="top"/>
    </xf>
    <xf numFmtId="3" fontId="7" fillId="3" borderId="0" xfId="0" applyNumberFormat="1" applyFont="1" applyFill="1" applyAlignment="1">
      <alignment horizontal="left" vertical="top"/>
    </xf>
    <xf numFmtId="9" fontId="9" fillId="2" borderId="17" xfId="0" applyNumberFormat="1" applyFont="1" applyFill="1" applyBorder="1" applyAlignment="1">
      <alignment horizontal="left" vertical="top"/>
    </xf>
    <xf numFmtId="9" fontId="9" fillId="2" borderId="18" xfId="0" applyNumberFormat="1" applyFont="1" applyFill="1" applyBorder="1" applyAlignment="1">
      <alignment horizontal="left" vertical="top"/>
    </xf>
    <xf numFmtId="3" fontId="0" fillId="2" borderId="6" xfId="0" applyNumberFormat="1" applyFill="1" applyBorder="1" applyAlignment="1">
      <alignment vertical="top"/>
    </xf>
    <xf numFmtId="9" fontId="9" fillId="2" borderId="18" xfId="0" applyNumberFormat="1" applyFont="1" applyFill="1" applyBorder="1" applyAlignment="1">
      <alignment vertical="top"/>
    </xf>
    <xf numFmtId="9" fontId="9" fillId="2" borderId="4" xfId="0" applyNumberFormat="1" applyFont="1" applyFill="1" applyBorder="1" applyAlignment="1">
      <alignment vertical="top"/>
    </xf>
    <xf numFmtId="0" fontId="0" fillId="2" borderId="8" xfId="0" applyFont="1" applyFill="1" applyBorder="1" applyAlignment="1">
      <alignment horizontal="left" vertical="top" wrapText="1"/>
    </xf>
    <xf numFmtId="3" fontId="1" fillId="2" borderId="12" xfId="0" applyNumberFormat="1" applyFont="1" applyFill="1" applyBorder="1" applyAlignment="1">
      <alignment vertical="top"/>
    </xf>
    <xf numFmtId="0" fontId="10" fillId="3" borderId="0" xfId="18" applyFont="1" applyFill="1" applyAlignment="1">
      <alignment vertical="top"/>
    </xf>
    <xf numFmtId="0" fontId="0" fillId="3" borderId="6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3" xfId="0" applyFill="1" applyBorder="1" applyAlignment="1">
      <alignment/>
    </xf>
    <xf numFmtId="0" fontId="10" fillId="3" borderId="0" xfId="18" applyFont="1" applyFill="1" applyAlignment="1">
      <alignment/>
    </xf>
    <xf numFmtId="0" fontId="0" fillId="4" borderId="21" xfId="0" applyFont="1" applyFill="1" applyBorder="1" applyAlignment="1">
      <alignment horizontal="left" vertical="top"/>
    </xf>
    <xf numFmtId="0" fontId="0" fillId="4" borderId="22" xfId="0" applyFont="1" applyFill="1" applyBorder="1" applyAlignment="1">
      <alignment horizontal="left" vertical="top"/>
    </xf>
    <xf numFmtId="0" fontId="11" fillId="4" borderId="23" xfId="18" applyFont="1" applyFill="1" applyBorder="1" applyAlignment="1">
      <alignment vertical="top"/>
    </xf>
    <xf numFmtId="0" fontId="11" fillId="4" borderId="23" xfId="0" applyFont="1" applyFill="1" applyBorder="1" applyAlignment="1">
      <alignment vertical="top"/>
    </xf>
    <xf numFmtId="0" fontId="2" fillId="4" borderId="21" xfId="0" applyFont="1" applyFill="1" applyBorder="1" applyAlignment="1">
      <alignment horizontal="left" vertical="top"/>
    </xf>
    <xf numFmtId="0" fontId="2" fillId="4" borderId="22" xfId="0" applyFont="1" applyFill="1" applyBorder="1" applyAlignment="1">
      <alignment horizontal="left" vertical="top"/>
    </xf>
    <xf numFmtId="0" fontId="10" fillId="3" borderId="0" xfId="18" applyFont="1" applyFill="1" applyBorder="1" applyAlignment="1">
      <alignment vertical="top"/>
    </xf>
    <xf numFmtId="3" fontId="0" fillId="2" borderId="4" xfId="0" applyNumberFormat="1" applyFont="1" applyFill="1" applyBorder="1" applyAlignment="1">
      <alignment horizontal="left" vertical="top"/>
    </xf>
    <xf numFmtId="3" fontId="0" fillId="3" borderId="0" xfId="0" applyNumberFormat="1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3" fontId="13" fillId="2" borderId="18" xfId="0" applyNumberFormat="1" applyFont="1" applyFill="1" applyBorder="1" applyAlignment="1">
      <alignment horizontal="left" vertical="top"/>
    </xf>
    <xf numFmtId="3" fontId="14" fillId="2" borderId="10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3" fontId="9" fillId="2" borderId="18" xfId="0" applyNumberFormat="1" applyFont="1" applyFill="1" applyBorder="1" applyAlignment="1">
      <alignment horizontal="left" vertical="top"/>
    </xf>
    <xf numFmtId="3" fontId="14" fillId="2" borderId="6" xfId="0" applyNumberFormat="1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 vertical="top"/>
    </xf>
    <xf numFmtId="3" fontId="9" fillId="2" borderId="7" xfId="0" applyNumberFormat="1" applyFont="1" applyFill="1" applyBorder="1" applyAlignment="1">
      <alignment vertical="top"/>
    </xf>
    <xf numFmtId="3" fontId="13" fillId="2" borderId="9" xfId="0" applyNumberFormat="1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3" fontId="15" fillId="2" borderId="18" xfId="0" applyNumberFormat="1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/>
    </xf>
    <xf numFmtId="0" fontId="0" fillId="2" borderId="25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left" vertical="top"/>
    </xf>
    <xf numFmtId="3" fontId="2" fillId="2" borderId="28" xfId="0" applyNumberFormat="1" applyFont="1" applyFill="1" applyBorder="1" applyAlignment="1">
      <alignment horizontal="left" vertical="top"/>
    </xf>
    <xf numFmtId="0" fontId="0" fillId="3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vertical="top" wrapText="1"/>
    </xf>
    <xf numFmtId="3" fontId="0" fillId="2" borderId="8" xfId="0" applyNumberFormat="1" applyFont="1" applyFill="1" applyBorder="1" applyAlignment="1">
      <alignment horizontal="left" vertical="top"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 quotePrefix="1">
      <alignment vertical="top" wrapText="1"/>
    </xf>
    <xf numFmtId="0" fontId="0" fillId="4" borderId="8" xfId="0" applyFont="1" applyFill="1" applyBorder="1" applyAlignment="1">
      <alignment vertical="top" wrapText="1"/>
    </xf>
    <xf numFmtId="3" fontId="0" fillId="2" borderId="12" xfId="0" applyNumberFormat="1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horizontal="left" vertical="top"/>
    </xf>
    <xf numFmtId="168" fontId="0" fillId="2" borderId="18" xfId="0" applyNumberFormat="1" applyFont="1" applyFill="1" applyBorder="1" applyAlignment="1">
      <alignment horizontal="left" vertical="top"/>
    </xf>
    <xf numFmtId="168" fontId="0" fillId="2" borderId="8" xfId="0" applyNumberFormat="1" applyFont="1" applyFill="1" applyBorder="1" applyAlignment="1">
      <alignment horizontal="left" vertical="top"/>
    </xf>
    <xf numFmtId="168" fontId="0" fillId="2" borderId="12" xfId="0" applyNumberFormat="1" applyFont="1" applyFill="1" applyBorder="1" applyAlignment="1">
      <alignment horizontal="left" vertical="top"/>
    </xf>
    <xf numFmtId="4" fontId="0" fillId="2" borderId="8" xfId="0" applyNumberFormat="1" applyFont="1" applyFill="1" applyBorder="1" applyAlignment="1">
      <alignment horizontal="left" vertical="top"/>
    </xf>
    <xf numFmtId="4" fontId="0" fillId="2" borderId="0" xfId="0" applyNumberFormat="1" applyFont="1" applyFill="1" applyBorder="1" applyAlignment="1">
      <alignment horizontal="left" vertical="top"/>
    </xf>
    <xf numFmtId="4" fontId="0" fillId="2" borderId="18" xfId="0" applyNumberFormat="1" applyFont="1" applyFill="1" applyBorder="1" applyAlignment="1">
      <alignment horizontal="left" vertical="top"/>
    </xf>
    <xf numFmtId="4" fontId="0" fillId="2" borderId="12" xfId="0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 indent="1"/>
    </xf>
    <xf numFmtId="9" fontId="0" fillId="2" borderId="17" xfId="0" applyNumberFormat="1" applyFont="1" applyFill="1" applyBorder="1" applyAlignment="1">
      <alignment horizontal="left" vertical="top"/>
    </xf>
    <xf numFmtId="0" fontId="11" fillId="4" borderId="14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2" fillId="5" borderId="23" xfId="0" applyFont="1" applyFill="1" applyBorder="1" applyAlignment="1">
      <alignment/>
    </xf>
    <xf numFmtId="0" fontId="19" fillId="2" borderId="21" xfId="18" applyFont="1" applyFill="1" applyBorder="1" applyAlignment="1">
      <alignment horizontal="center" vertical="center"/>
    </xf>
    <xf numFmtId="0" fontId="19" fillId="2" borderId="21" xfId="18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top" wrapText="1"/>
    </xf>
    <xf numFmtId="0" fontId="0" fillId="2" borderId="0" xfId="0" applyNumberFormat="1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left" vertical="center" indent="1"/>
    </xf>
    <xf numFmtId="0" fontId="2" fillId="4" borderId="22" xfId="0" applyFont="1" applyFill="1" applyBorder="1" applyAlignment="1">
      <alignment horizontal="left" vertical="center" indent="1"/>
    </xf>
    <xf numFmtId="0" fontId="2" fillId="4" borderId="14" xfId="0" applyFont="1" applyFill="1" applyBorder="1" applyAlignment="1">
      <alignment horizontal="left" vertical="top" indent="1"/>
    </xf>
    <xf numFmtId="0" fontId="2" fillId="4" borderId="2" xfId="0" applyFont="1" applyFill="1" applyBorder="1" applyAlignment="1">
      <alignment horizontal="left" vertical="top" indent="1"/>
    </xf>
    <xf numFmtId="0" fontId="0" fillId="2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168" fontId="0" fillId="3" borderId="0" xfId="0" applyNumberFormat="1" applyFont="1" applyFill="1" applyBorder="1" applyAlignment="1">
      <alignment horizontal="left" vertical="top"/>
    </xf>
    <xf numFmtId="0" fontId="0" fillId="3" borderId="0" xfId="0" applyFont="1" applyFill="1" applyBorder="1" applyAlignment="1" quotePrefix="1">
      <alignment vertical="top" wrapText="1"/>
    </xf>
    <xf numFmtId="4" fontId="0" fillId="3" borderId="0" xfId="0" applyNumberFormat="1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 quotePrefix="1">
      <alignment vertical="top" wrapText="1"/>
    </xf>
    <xf numFmtId="0" fontId="2" fillId="4" borderId="23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29" xfId="0" applyFont="1" applyFill="1" applyBorder="1" applyAlignment="1">
      <alignment horizontal="left" vertical="top"/>
    </xf>
    <xf numFmtId="0" fontId="0" fillId="2" borderId="30" xfId="0" applyFont="1" applyFill="1" applyBorder="1" applyAlignment="1">
      <alignment vertical="top" wrapText="1"/>
    </xf>
    <xf numFmtId="0" fontId="0" fillId="2" borderId="31" xfId="0" applyFont="1" applyFill="1" applyBorder="1" applyAlignment="1">
      <alignment vertical="top" wrapText="1"/>
    </xf>
    <xf numFmtId="0" fontId="0" fillId="2" borderId="30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32" xfId="0" applyFont="1" applyFill="1" applyBorder="1" applyAlignment="1">
      <alignment vertical="top" wrapText="1"/>
    </xf>
    <xf numFmtId="0" fontId="0" fillId="2" borderId="33" xfId="0" applyFont="1" applyFill="1" applyBorder="1" applyAlignment="1">
      <alignment vertical="top" wrapText="1"/>
    </xf>
    <xf numFmtId="0" fontId="0" fillId="2" borderId="34" xfId="0" applyFont="1" applyFill="1" applyBorder="1" applyAlignment="1">
      <alignment vertical="top" wrapText="1"/>
    </xf>
    <xf numFmtId="0" fontId="0" fillId="2" borderId="35" xfId="0" applyFont="1" applyFill="1" applyBorder="1" applyAlignment="1">
      <alignment vertical="top"/>
    </xf>
    <xf numFmtId="0" fontId="0" fillId="2" borderId="36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0" fillId="2" borderId="3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vertical="top" wrapText="1"/>
    </xf>
    <xf numFmtId="0" fontId="2" fillId="4" borderId="26" xfId="0" applyFont="1" applyFill="1" applyBorder="1" applyAlignment="1">
      <alignment horizontal="left" vertical="top" wrapText="1"/>
    </xf>
    <xf numFmtId="4" fontId="0" fillId="2" borderId="4" xfId="0" applyNumberFormat="1" applyFont="1" applyFill="1" applyBorder="1" applyAlignment="1" quotePrefix="1">
      <alignment horizontal="right" vertical="top"/>
    </xf>
    <xf numFmtId="4" fontId="0" fillId="2" borderId="4" xfId="0" applyNumberFormat="1" applyFont="1" applyFill="1" applyBorder="1" applyAlignment="1">
      <alignment horizontal="right" vertical="top"/>
    </xf>
    <xf numFmtId="4" fontId="0" fillId="2" borderId="4" xfId="0" applyNumberFormat="1" applyFont="1" applyFill="1" applyBorder="1" applyAlignment="1" quotePrefix="1">
      <alignment horizontal="right" vertical="top" wrapText="1"/>
    </xf>
    <xf numFmtId="4" fontId="0" fillId="2" borderId="4" xfId="0" applyNumberFormat="1" applyFont="1" applyFill="1" applyBorder="1" applyAlignment="1">
      <alignment horizontal="right" vertical="top" wrapText="1"/>
    </xf>
    <xf numFmtId="10" fontId="0" fillId="3" borderId="0" xfId="19" applyNumberFormat="1" applyFont="1" applyFill="1" applyBorder="1" applyAlignment="1">
      <alignment horizontal="left" vertical="top"/>
    </xf>
    <xf numFmtId="10" fontId="0" fillId="3" borderId="0" xfId="0" applyNumberFormat="1" applyFont="1" applyFill="1" applyBorder="1" applyAlignment="1">
      <alignment horizontal="left" vertical="top"/>
    </xf>
    <xf numFmtId="168" fontId="0" fillId="3" borderId="0" xfId="19" applyNumberFormat="1" applyFont="1" applyFill="1" applyBorder="1" applyAlignment="1">
      <alignment vertical="top"/>
    </xf>
    <xf numFmtId="9" fontId="0" fillId="2" borderId="0" xfId="19" applyNumberFormat="1" applyFont="1" applyFill="1" applyBorder="1" applyAlignment="1">
      <alignment vertical="top" wrapText="1"/>
    </xf>
    <xf numFmtId="9" fontId="0" fillId="2" borderId="0" xfId="19" applyNumberFormat="1" applyFont="1" applyFill="1" applyBorder="1" applyAlignment="1" quotePrefix="1">
      <alignment vertical="top" wrapText="1"/>
    </xf>
    <xf numFmtId="9" fontId="0" fillId="2" borderId="0" xfId="19" applyNumberFormat="1" applyFont="1" applyFill="1" applyBorder="1" applyAlignment="1">
      <alignment vertical="top"/>
    </xf>
    <xf numFmtId="169" fontId="0" fillId="2" borderId="0" xfId="19" applyNumberFormat="1" applyFont="1" applyFill="1" applyBorder="1" applyAlignment="1">
      <alignment vertical="top" wrapText="1"/>
    </xf>
    <xf numFmtId="169" fontId="0" fillId="2" borderId="0" xfId="19" applyNumberFormat="1" applyFont="1" applyFill="1" applyBorder="1" applyAlignment="1" quotePrefix="1">
      <alignment vertical="top" wrapText="1"/>
    </xf>
    <xf numFmtId="169" fontId="0" fillId="2" borderId="0" xfId="19" applyNumberFormat="1" applyFont="1" applyFill="1" applyBorder="1" applyAlignment="1">
      <alignment vertical="top"/>
    </xf>
    <xf numFmtId="9" fontId="0" fillId="2" borderId="0" xfId="0" applyNumberFormat="1" applyFont="1" applyFill="1" applyBorder="1" applyAlignment="1">
      <alignment vertical="top" wrapText="1"/>
    </xf>
    <xf numFmtId="9" fontId="0" fillId="2" borderId="0" xfId="0" applyNumberFormat="1" applyFont="1" applyFill="1" applyBorder="1" applyAlignment="1">
      <alignment vertical="top"/>
    </xf>
    <xf numFmtId="168" fontId="0" fillId="2" borderId="0" xfId="19" applyNumberFormat="1" applyFont="1" applyFill="1" applyBorder="1" applyAlignment="1">
      <alignment vertical="top" wrapText="1"/>
    </xf>
    <xf numFmtId="0" fontId="0" fillId="2" borderId="37" xfId="0" applyFont="1" applyFill="1" applyBorder="1" applyAlignment="1">
      <alignment vertical="top" wrapText="1"/>
    </xf>
    <xf numFmtId="0" fontId="2" fillId="2" borderId="37" xfId="0" applyFont="1" applyFill="1" applyBorder="1" applyAlignment="1">
      <alignment vertical="top"/>
    </xf>
    <xf numFmtId="1" fontId="0" fillId="2" borderId="37" xfId="0" applyNumberFormat="1" applyFont="1" applyFill="1" applyBorder="1" applyAlignment="1">
      <alignment vertical="top" wrapText="1"/>
    </xf>
    <xf numFmtId="169" fontId="0" fillId="2" borderId="8" xfId="19" applyNumberFormat="1" applyFont="1" applyFill="1" applyBorder="1" applyAlignment="1">
      <alignment vertical="top" wrapText="1"/>
    </xf>
    <xf numFmtId="169" fontId="0" fillId="2" borderId="8" xfId="19" applyNumberFormat="1" applyFont="1" applyFill="1" applyBorder="1" applyAlignment="1" quotePrefix="1">
      <alignment vertical="top" wrapText="1"/>
    </xf>
    <xf numFmtId="169" fontId="0" fillId="2" borderId="8" xfId="19" applyNumberFormat="1" applyFont="1" applyFill="1" applyBorder="1" applyAlignment="1">
      <alignment vertical="top"/>
    </xf>
    <xf numFmtId="168" fontId="0" fillId="2" borderId="8" xfId="19" applyNumberFormat="1" applyFont="1" applyFill="1" applyBorder="1" applyAlignment="1">
      <alignment vertical="top" wrapText="1"/>
    </xf>
    <xf numFmtId="0" fontId="0" fillId="2" borderId="38" xfId="0" applyFont="1" applyFill="1" applyBorder="1" applyAlignment="1">
      <alignment horizontal="left" vertical="top"/>
    </xf>
    <xf numFmtId="3" fontId="0" fillId="2" borderId="4" xfId="0" applyNumberFormat="1" applyFont="1" applyFill="1" applyBorder="1" applyAlignment="1">
      <alignment vertical="top"/>
    </xf>
    <xf numFmtId="1" fontId="0" fillId="2" borderId="39" xfId="0" applyNumberFormat="1" applyFont="1" applyFill="1" applyBorder="1" applyAlignment="1">
      <alignment vertical="top"/>
    </xf>
    <xf numFmtId="0" fontId="0" fillId="6" borderId="0" xfId="0" applyFont="1" applyFill="1" applyBorder="1" applyAlignment="1" quotePrefix="1">
      <alignment vertical="top"/>
    </xf>
    <xf numFmtId="0" fontId="0" fillId="6" borderId="0" xfId="0" applyFont="1" applyFill="1" applyBorder="1" applyAlignment="1" quotePrefix="1">
      <alignment vertical="top" wrapText="1"/>
    </xf>
    <xf numFmtId="0" fontId="0" fillId="6" borderId="37" xfId="0" applyFont="1" applyFill="1" applyBorder="1" applyAlignment="1" quotePrefix="1">
      <alignment vertical="top" wrapText="1"/>
    </xf>
    <xf numFmtId="0" fontId="0" fillId="6" borderId="0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6" borderId="0" xfId="0" applyFont="1" applyFill="1" applyBorder="1" applyAlignment="1">
      <alignment vertical="top" wrapText="1"/>
    </xf>
    <xf numFmtId="168" fontId="0" fillId="6" borderId="0" xfId="0" applyNumberFormat="1" applyFont="1" applyFill="1" applyBorder="1" applyAlignment="1">
      <alignment vertical="top"/>
    </xf>
    <xf numFmtId="168" fontId="0" fillId="6" borderId="4" xfId="0" applyNumberFormat="1" applyFont="1" applyFill="1" applyBorder="1" applyAlignment="1">
      <alignment vertical="top"/>
    </xf>
    <xf numFmtId="0" fontId="0" fillId="6" borderId="8" xfId="0" applyFont="1" applyFill="1" applyBorder="1" applyAlignment="1" quotePrefix="1">
      <alignment vertical="top" wrapText="1"/>
    </xf>
    <xf numFmtId="3" fontId="0" fillId="6" borderId="8" xfId="0" applyNumberFormat="1" applyFont="1" applyFill="1" applyBorder="1" applyAlignment="1">
      <alignment vertical="top"/>
    </xf>
    <xf numFmtId="3" fontId="0" fillId="6" borderId="9" xfId="0" applyNumberFormat="1" applyFont="1" applyFill="1" applyBorder="1" applyAlignment="1">
      <alignment vertical="top"/>
    </xf>
    <xf numFmtId="0" fontId="2" fillId="4" borderId="40" xfId="0" applyFont="1" applyFill="1" applyBorder="1" applyAlignment="1">
      <alignment horizontal="left" vertical="top" wrapText="1"/>
    </xf>
    <xf numFmtId="0" fontId="0" fillId="2" borderId="30" xfId="0" applyFont="1" applyFill="1" applyBorder="1" applyAlignment="1">
      <alignment vertical="top"/>
    </xf>
    <xf numFmtId="168" fontId="0" fillId="2" borderId="4" xfId="19" applyNumberFormat="1" applyFont="1" applyFill="1" applyBorder="1" applyAlignment="1">
      <alignment vertical="top" wrapText="1"/>
    </xf>
    <xf numFmtId="168" fontId="0" fillId="2" borderId="9" xfId="19" applyNumberFormat="1" applyFont="1" applyFill="1" applyBorder="1" applyAlignment="1" quotePrefix="1">
      <alignment vertical="top" wrapText="1"/>
    </xf>
    <xf numFmtId="0" fontId="2" fillId="2" borderId="4" xfId="0" applyFont="1" applyFill="1" applyBorder="1" applyAlignment="1">
      <alignment horizontal="left" vertical="top"/>
    </xf>
    <xf numFmtId="0" fontId="0" fillId="2" borderId="6" xfId="0" applyFont="1" applyFill="1" applyBorder="1" applyAlignment="1" quotePrefix="1">
      <alignment vertical="top" wrapText="1"/>
    </xf>
    <xf numFmtId="4" fontId="0" fillId="6" borderId="0" xfId="0" applyNumberFormat="1" applyFont="1" applyFill="1" applyBorder="1" applyAlignment="1">
      <alignment vertical="top"/>
    </xf>
    <xf numFmtId="4" fontId="0" fillId="6" borderId="4" xfId="0" applyNumberFormat="1" applyFont="1" applyFill="1" applyBorder="1" applyAlignment="1">
      <alignment vertical="top"/>
    </xf>
    <xf numFmtId="168" fontId="0" fillId="6" borderId="37" xfId="0" applyNumberFormat="1" applyFont="1" applyFill="1" applyBorder="1" applyAlignment="1">
      <alignment vertical="top"/>
    </xf>
    <xf numFmtId="168" fontId="0" fillId="6" borderId="39" xfId="0" applyNumberFormat="1" applyFont="1" applyFill="1" applyBorder="1" applyAlignment="1">
      <alignment vertical="top"/>
    </xf>
    <xf numFmtId="4" fontId="0" fillId="6" borderId="8" xfId="0" applyNumberFormat="1" applyFont="1" applyFill="1" applyBorder="1" applyAlignment="1">
      <alignment vertical="top"/>
    </xf>
    <xf numFmtId="4" fontId="0" fillId="6" borderId="9" xfId="0" applyNumberFormat="1" applyFont="1" applyFill="1" applyBorder="1" applyAlignment="1">
      <alignment vertical="top"/>
    </xf>
    <xf numFmtId="4" fontId="0" fillId="6" borderId="37" xfId="0" applyNumberFormat="1" applyFont="1" applyFill="1" applyBorder="1" applyAlignment="1">
      <alignment vertical="top"/>
    </xf>
    <xf numFmtId="4" fontId="0" fillId="6" borderId="39" xfId="0" applyNumberFormat="1" applyFont="1" applyFill="1" applyBorder="1" applyAlignment="1">
      <alignment vertical="top"/>
    </xf>
    <xf numFmtId="168" fontId="0" fillId="6" borderId="6" xfId="0" applyNumberFormat="1" applyFont="1" applyFill="1" applyBorder="1" applyAlignment="1">
      <alignment vertical="top"/>
    </xf>
    <xf numFmtId="168" fontId="0" fillId="6" borderId="7" xfId="0" applyNumberFormat="1" applyFont="1" applyFill="1" applyBorder="1" applyAlignment="1">
      <alignment vertical="top"/>
    </xf>
    <xf numFmtId="0" fontId="0" fillId="6" borderId="0" xfId="0" applyFont="1" applyFill="1" applyBorder="1" applyAlignment="1">
      <alignment horizontal="left" vertical="top"/>
    </xf>
    <xf numFmtId="0" fontId="0" fillId="6" borderId="6" xfId="0" applyFont="1" applyFill="1" applyBorder="1" applyAlignment="1">
      <alignment horizontal="left" vertical="top"/>
    </xf>
    <xf numFmtId="0" fontId="0" fillId="6" borderId="4" xfId="0" applyFont="1" applyFill="1" applyBorder="1" applyAlignment="1">
      <alignment horizontal="left" vertical="top"/>
    </xf>
    <xf numFmtId="0" fontId="0" fillId="6" borderId="9" xfId="0" applyFont="1" applyFill="1" applyBorder="1" applyAlignment="1">
      <alignment horizontal="left" vertical="top"/>
    </xf>
    <xf numFmtId="0" fontId="0" fillId="4" borderId="22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/>
    </xf>
    <xf numFmtId="0" fontId="19" fillId="2" borderId="1" xfId="18" applyFont="1" applyFill="1" applyBorder="1" applyAlignment="1">
      <alignment horizontal="center" vertical="center"/>
    </xf>
    <xf numFmtId="0" fontId="19" fillId="2" borderId="1" xfId="18" applyFont="1" applyFill="1" applyBorder="1" applyAlignment="1">
      <alignment horizontal="center" vertical="center"/>
    </xf>
    <xf numFmtId="0" fontId="19" fillId="2" borderId="2" xfId="18" applyFont="1" applyFill="1" applyBorder="1" applyAlignment="1">
      <alignment horizontal="center" vertical="center"/>
    </xf>
    <xf numFmtId="0" fontId="19" fillId="2" borderId="23" xfId="18" applyFont="1" applyFill="1" applyBorder="1" applyAlignment="1">
      <alignment/>
    </xf>
    <xf numFmtId="0" fontId="0" fillId="2" borderId="21" xfId="0" applyFill="1" applyBorder="1" applyAlignment="1">
      <alignment/>
    </xf>
    <xf numFmtId="0" fontId="19" fillId="2" borderId="22" xfId="18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auto="1"/>
      </font>
      <fill>
        <patternFill>
          <bgColor rgb="FFFF6600"/>
        </patternFill>
      </fill>
      <border/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666699"/>
      </font>
      <fill>
        <patternFill>
          <bgColor rgb="FF666699"/>
        </patternFill>
      </fill>
      <border/>
    </dxf>
    <dxf>
      <font>
        <color rgb="FFC0C0C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Gegenüberstellung Umsatz und Einkäufe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6"/>
          <c:order val="0"/>
          <c:tx>
            <c:strRef>
              <c:f>'Finanzmodell Basis'!$B$11</c:f>
              <c:strCache>
                <c:ptCount val="1"/>
                <c:pt idx="0">
                  <c:v>Umsatz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'Finanzmodell Basis'!$D$4:$G$4</c:f>
              <c:strCache>
                <c:ptCount val="4"/>
                <c:pt idx="0">
                  <c:v>April</c:v>
                </c:pt>
                <c:pt idx="1">
                  <c:v>März</c:v>
                </c:pt>
                <c:pt idx="2">
                  <c:v>Februar</c:v>
                </c:pt>
                <c:pt idx="3">
                  <c:v>Januar</c:v>
                </c:pt>
              </c:strCache>
            </c:strRef>
          </c:cat>
          <c:val>
            <c:numRef>
              <c:f>'Finanzmodell Basis'!$D$11:$G$11</c:f>
              <c:numCache>
                <c:ptCount val="4"/>
                <c:pt idx="0">
                  <c:v>300</c:v>
                </c:pt>
                <c:pt idx="1">
                  <c:v>250</c:v>
                </c:pt>
                <c:pt idx="2">
                  <c:v>350</c:v>
                </c:pt>
                <c:pt idx="3">
                  <c:v>300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'Finanzmodell Basis'!$B$14</c:f>
              <c:strCache>
                <c:ptCount val="1"/>
                <c:pt idx="0">
                  <c:v>Einkäufe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'Finanzmodell Basis'!$D$4:$G$4</c:f>
              <c:strCache>
                <c:ptCount val="4"/>
                <c:pt idx="0">
                  <c:v>April</c:v>
                </c:pt>
                <c:pt idx="1">
                  <c:v>März</c:v>
                </c:pt>
                <c:pt idx="2">
                  <c:v>Februar</c:v>
                </c:pt>
                <c:pt idx="3">
                  <c:v>Januar</c:v>
                </c:pt>
              </c:strCache>
            </c:strRef>
          </c:cat>
          <c:val>
            <c:numRef>
              <c:f>'Finanzmodell Basis'!$D$14:$G$14</c:f>
              <c:numCache>
                <c:ptCount val="4"/>
                <c:pt idx="0">
                  <c:v>150</c:v>
                </c:pt>
                <c:pt idx="1">
                  <c:v>125</c:v>
                </c:pt>
                <c:pt idx="2">
                  <c:v>175</c:v>
                </c:pt>
                <c:pt idx="3">
                  <c:v>150</c:v>
                </c:pt>
              </c:numCache>
            </c:numRef>
          </c:val>
          <c:smooth val="0"/>
        </c:ser>
        <c:upDownBars>
          <c:upBars>
            <c:spPr>
              <a:pattFill prst="pct5">
                <a:fgClr>
                  <a:srgbClr val="666699"/>
                </a:fgClr>
                <a:bgClr>
                  <a:srgbClr val="C0C0C0"/>
                </a:bgClr>
              </a:pattFill>
              <a:ln w="3175">
                <a:solidFill>
                  <a:srgbClr val="969696"/>
                </a:solidFill>
              </a:ln>
            </c:spPr>
          </c:upBars>
          <c:downBars/>
        </c:upDownBars>
        <c:marker val="1"/>
        <c:axId val="10176677"/>
        <c:axId val="24481230"/>
      </c:lineChart>
      <c:catAx>
        <c:axId val="101766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4481230"/>
        <c:crossesAt val="75"/>
        <c:auto val="1"/>
        <c:lblOffset val="100"/>
        <c:noMultiLvlLbl val="0"/>
      </c:catAx>
      <c:valAx>
        <c:axId val="24481230"/>
        <c:scaling>
          <c:orientation val="minMax"/>
          <c:min val="75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666699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9.emf" /><Relationship Id="rId3" Type="http://schemas.openxmlformats.org/officeDocument/2006/relationships/image" Target="../media/image26.emf" /><Relationship Id="rId4" Type="http://schemas.openxmlformats.org/officeDocument/2006/relationships/image" Target="../media/image20.emf" /><Relationship Id="rId5" Type="http://schemas.openxmlformats.org/officeDocument/2006/relationships/image" Target="../media/image21.emf" /><Relationship Id="rId6" Type="http://schemas.openxmlformats.org/officeDocument/2006/relationships/image" Target="../media/image24.emf" /><Relationship Id="rId7" Type="http://schemas.openxmlformats.org/officeDocument/2006/relationships/image" Target="../media/image2.emf" /><Relationship Id="rId8" Type="http://schemas.openxmlformats.org/officeDocument/2006/relationships/image" Target="../media/image23.emf" /><Relationship Id="rId9" Type="http://schemas.openxmlformats.org/officeDocument/2006/relationships/image" Target="../media/image3.emf" /><Relationship Id="rId10" Type="http://schemas.openxmlformats.org/officeDocument/2006/relationships/image" Target="../media/image7.emf" /><Relationship Id="rId11" Type="http://schemas.openxmlformats.org/officeDocument/2006/relationships/image" Target="../media/image4.emf" /><Relationship Id="rId12" Type="http://schemas.openxmlformats.org/officeDocument/2006/relationships/image" Target="../media/image12.emf" /><Relationship Id="rId13" Type="http://schemas.openxmlformats.org/officeDocument/2006/relationships/image" Target="../media/image6.emf" /><Relationship Id="rId14" Type="http://schemas.openxmlformats.org/officeDocument/2006/relationships/image" Target="../media/image13.emf" /><Relationship Id="rId15" Type="http://schemas.openxmlformats.org/officeDocument/2006/relationships/image" Target="../media/image10.emf" /><Relationship Id="rId16" Type="http://schemas.openxmlformats.org/officeDocument/2006/relationships/image" Target="../media/image8.emf" /><Relationship Id="rId17" Type="http://schemas.openxmlformats.org/officeDocument/2006/relationships/image" Target="../media/image1.emf" /><Relationship Id="rId18" Type="http://schemas.openxmlformats.org/officeDocument/2006/relationships/image" Target="../media/image5.emf" /><Relationship Id="rId19" Type="http://schemas.openxmlformats.org/officeDocument/2006/relationships/image" Target="../media/image9.emf" /><Relationship Id="rId20" Type="http://schemas.openxmlformats.org/officeDocument/2006/relationships/image" Target="../media/image11.emf" /><Relationship Id="rId21" Type="http://schemas.openxmlformats.org/officeDocument/2006/relationships/image" Target="../media/image27.emf" /><Relationship Id="rId22" Type="http://schemas.openxmlformats.org/officeDocument/2006/relationships/image" Target="../media/image14.emf" /><Relationship Id="rId23" Type="http://schemas.openxmlformats.org/officeDocument/2006/relationships/image" Target="../media/image18.emf" /><Relationship Id="rId24" Type="http://schemas.openxmlformats.org/officeDocument/2006/relationships/image" Target="../media/image16.emf" /><Relationship Id="rId25" Type="http://schemas.openxmlformats.org/officeDocument/2006/relationships/image" Target="../media/image15.emf" /><Relationship Id="rId26" Type="http://schemas.openxmlformats.org/officeDocument/2006/relationships/image" Target="../media/image25.emf" /><Relationship Id="rId27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</xdr:row>
      <xdr:rowOff>171450</xdr:rowOff>
    </xdr:from>
    <xdr:to>
      <xdr:col>8</xdr:col>
      <xdr:colOff>95250</xdr:colOff>
      <xdr:row>5</xdr:row>
      <xdr:rowOff>57150</xdr:rowOff>
    </xdr:to>
    <xdr:grpSp>
      <xdr:nvGrpSpPr>
        <xdr:cNvPr id="1" name="Group 26"/>
        <xdr:cNvGrpSpPr>
          <a:grpSpLocks/>
        </xdr:cNvGrpSpPr>
      </xdr:nvGrpSpPr>
      <xdr:grpSpPr>
        <a:xfrm>
          <a:off x="4019550" y="647700"/>
          <a:ext cx="419100" cy="3676650"/>
          <a:chOff x="426" y="91"/>
          <a:chExt cx="44" cy="38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26" y="112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26" y="133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26" y="155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6" y="176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26" y="198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26" y="219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26" y="241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26" y="262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426" y="284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426" y="305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26" y="326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26" y="348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26" y="369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26" y="391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426" y="412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26" y="434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26" y="455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26" y="477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5"/>
          <xdr:cNvSpPr>
            <a:spLocks/>
          </xdr:cNvSpPr>
        </xdr:nvSpPr>
        <xdr:spPr>
          <a:xfrm>
            <a:off x="426" y="91"/>
            <a:ext cx="4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37</xdr:row>
      <xdr:rowOff>19050</xdr:rowOff>
    </xdr:from>
    <xdr:to>
      <xdr:col>10</xdr:col>
      <xdr:colOff>2771775</xdr:colOff>
      <xdr:row>37</xdr:row>
      <xdr:rowOff>171450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07732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19050</xdr:rowOff>
    </xdr:from>
    <xdr:to>
      <xdr:col>10</xdr:col>
      <xdr:colOff>2771775</xdr:colOff>
      <xdr:row>5</xdr:row>
      <xdr:rowOff>171450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95250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0</xdr:rowOff>
    </xdr:from>
    <xdr:to>
      <xdr:col>10</xdr:col>
      <xdr:colOff>2771775</xdr:colOff>
      <xdr:row>9</xdr:row>
      <xdr:rowOff>152400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184785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14</xdr:row>
      <xdr:rowOff>0</xdr:rowOff>
    </xdr:from>
    <xdr:to>
      <xdr:col>10</xdr:col>
      <xdr:colOff>2771775</xdr:colOff>
      <xdr:row>14</xdr:row>
      <xdr:rowOff>152400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338137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18</xdr:row>
      <xdr:rowOff>190500</xdr:rowOff>
    </xdr:from>
    <xdr:to>
      <xdr:col>10</xdr:col>
      <xdr:colOff>2771775</xdr:colOff>
      <xdr:row>19</xdr:row>
      <xdr:rowOff>114300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1775" y="448627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19</xdr:row>
      <xdr:rowOff>200025</xdr:rowOff>
    </xdr:from>
    <xdr:to>
      <xdr:col>10</xdr:col>
      <xdr:colOff>2771775</xdr:colOff>
      <xdr:row>20</xdr:row>
      <xdr:rowOff>123825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472440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20</xdr:row>
      <xdr:rowOff>219075</xdr:rowOff>
    </xdr:from>
    <xdr:to>
      <xdr:col>10</xdr:col>
      <xdr:colOff>2771775</xdr:colOff>
      <xdr:row>21</xdr:row>
      <xdr:rowOff>142875</xdr:rowOff>
    </xdr:to>
    <xdr:pic>
      <xdr:nvPicPr>
        <xdr:cNvPr id="7" name="ScrollBar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81775" y="497205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0</xdr:rowOff>
    </xdr:from>
    <xdr:to>
      <xdr:col>10</xdr:col>
      <xdr:colOff>2771775</xdr:colOff>
      <xdr:row>22</xdr:row>
      <xdr:rowOff>152400</xdr:rowOff>
    </xdr:to>
    <xdr:pic>
      <xdr:nvPicPr>
        <xdr:cNvPr id="8" name="ScrollBar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81775" y="521017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24</xdr:row>
      <xdr:rowOff>9525</xdr:rowOff>
    </xdr:from>
    <xdr:to>
      <xdr:col>10</xdr:col>
      <xdr:colOff>2771775</xdr:colOff>
      <xdr:row>24</xdr:row>
      <xdr:rowOff>161925</xdr:rowOff>
    </xdr:to>
    <xdr:pic>
      <xdr:nvPicPr>
        <xdr:cNvPr id="9" name="ScrollBar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81775" y="567690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25</xdr:row>
      <xdr:rowOff>19050</xdr:rowOff>
    </xdr:from>
    <xdr:to>
      <xdr:col>10</xdr:col>
      <xdr:colOff>2771775</xdr:colOff>
      <xdr:row>25</xdr:row>
      <xdr:rowOff>171450</xdr:rowOff>
    </xdr:to>
    <xdr:pic>
      <xdr:nvPicPr>
        <xdr:cNvPr id="10" name="ScrollBar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81775" y="591502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31</xdr:row>
      <xdr:rowOff>38100</xdr:rowOff>
    </xdr:from>
    <xdr:to>
      <xdr:col>10</xdr:col>
      <xdr:colOff>2771775</xdr:colOff>
      <xdr:row>31</xdr:row>
      <xdr:rowOff>190500</xdr:rowOff>
    </xdr:to>
    <xdr:pic>
      <xdr:nvPicPr>
        <xdr:cNvPr id="11" name="ScrollBar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81775" y="772477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37</xdr:row>
      <xdr:rowOff>219075</xdr:rowOff>
    </xdr:from>
    <xdr:to>
      <xdr:col>10</xdr:col>
      <xdr:colOff>2771775</xdr:colOff>
      <xdr:row>38</xdr:row>
      <xdr:rowOff>142875</xdr:rowOff>
    </xdr:to>
    <xdr:pic>
      <xdr:nvPicPr>
        <xdr:cNvPr id="12" name="ScrollBar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81775" y="927735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38</xdr:row>
      <xdr:rowOff>495300</xdr:rowOff>
    </xdr:from>
    <xdr:to>
      <xdr:col>10</xdr:col>
      <xdr:colOff>2771775</xdr:colOff>
      <xdr:row>39</xdr:row>
      <xdr:rowOff>123825</xdr:rowOff>
    </xdr:to>
    <xdr:pic>
      <xdr:nvPicPr>
        <xdr:cNvPr id="13" name="ScrollBar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81775" y="978217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39</xdr:row>
      <xdr:rowOff>190500</xdr:rowOff>
    </xdr:from>
    <xdr:to>
      <xdr:col>10</xdr:col>
      <xdr:colOff>2771775</xdr:colOff>
      <xdr:row>40</xdr:row>
      <xdr:rowOff>114300</xdr:rowOff>
    </xdr:to>
    <xdr:pic>
      <xdr:nvPicPr>
        <xdr:cNvPr id="14" name="ScrollBar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81775" y="1000125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41</xdr:row>
      <xdr:rowOff>9525</xdr:rowOff>
    </xdr:from>
    <xdr:to>
      <xdr:col>10</xdr:col>
      <xdr:colOff>2771775</xdr:colOff>
      <xdr:row>41</xdr:row>
      <xdr:rowOff>161925</xdr:rowOff>
    </xdr:to>
    <xdr:pic>
      <xdr:nvPicPr>
        <xdr:cNvPr id="15" name="ScrollBar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81775" y="1027747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44</xdr:row>
      <xdr:rowOff>9525</xdr:rowOff>
    </xdr:from>
    <xdr:to>
      <xdr:col>10</xdr:col>
      <xdr:colOff>2771775</xdr:colOff>
      <xdr:row>44</xdr:row>
      <xdr:rowOff>161925</xdr:rowOff>
    </xdr:to>
    <xdr:pic>
      <xdr:nvPicPr>
        <xdr:cNvPr id="16" name="ScrollBar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81775" y="1110615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47</xdr:row>
      <xdr:rowOff>9525</xdr:rowOff>
    </xdr:from>
    <xdr:to>
      <xdr:col>10</xdr:col>
      <xdr:colOff>2771775</xdr:colOff>
      <xdr:row>47</xdr:row>
      <xdr:rowOff>161925</xdr:rowOff>
    </xdr:to>
    <xdr:pic>
      <xdr:nvPicPr>
        <xdr:cNvPr id="17" name="ScrollBar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81775" y="1208722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50</xdr:row>
      <xdr:rowOff>19050</xdr:rowOff>
    </xdr:from>
    <xdr:to>
      <xdr:col>10</xdr:col>
      <xdr:colOff>2771775</xdr:colOff>
      <xdr:row>50</xdr:row>
      <xdr:rowOff>171450</xdr:rowOff>
    </xdr:to>
    <xdr:pic>
      <xdr:nvPicPr>
        <xdr:cNvPr id="18" name="ScrollBar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81775" y="1402080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51</xdr:row>
      <xdr:rowOff>38100</xdr:rowOff>
    </xdr:from>
    <xdr:to>
      <xdr:col>10</xdr:col>
      <xdr:colOff>2771775</xdr:colOff>
      <xdr:row>52</xdr:row>
      <xdr:rowOff>28575</xdr:rowOff>
    </xdr:to>
    <xdr:pic>
      <xdr:nvPicPr>
        <xdr:cNvPr id="19" name="ScrollBar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81775" y="1426845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47625</xdr:rowOff>
    </xdr:from>
    <xdr:to>
      <xdr:col>10</xdr:col>
      <xdr:colOff>2771775</xdr:colOff>
      <xdr:row>61</xdr:row>
      <xdr:rowOff>200025</xdr:rowOff>
    </xdr:to>
    <xdr:pic>
      <xdr:nvPicPr>
        <xdr:cNvPr id="20" name="ScrollBar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81775" y="1704022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53</xdr:row>
      <xdr:rowOff>28575</xdr:rowOff>
    </xdr:from>
    <xdr:to>
      <xdr:col>10</xdr:col>
      <xdr:colOff>2771775</xdr:colOff>
      <xdr:row>53</xdr:row>
      <xdr:rowOff>257175</xdr:rowOff>
    </xdr:to>
    <xdr:pic>
      <xdr:nvPicPr>
        <xdr:cNvPr id="21" name="ScrollBar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81775" y="14601825"/>
          <a:ext cx="2733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55</xdr:row>
      <xdr:rowOff>38100</xdr:rowOff>
    </xdr:from>
    <xdr:to>
      <xdr:col>10</xdr:col>
      <xdr:colOff>2771775</xdr:colOff>
      <xdr:row>56</xdr:row>
      <xdr:rowOff>9525</xdr:rowOff>
    </xdr:to>
    <xdr:pic>
      <xdr:nvPicPr>
        <xdr:cNvPr id="22" name="ScrollBar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581775" y="15287625"/>
          <a:ext cx="2733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57</xdr:row>
      <xdr:rowOff>0</xdr:rowOff>
    </xdr:from>
    <xdr:to>
      <xdr:col>10</xdr:col>
      <xdr:colOff>2771775</xdr:colOff>
      <xdr:row>57</xdr:row>
      <xdr:rowOff>152400</xdr:rowOff>
    </xdr:to>
    <xdr:pic>
      <xdr:nvPicPr>
        <xdr:cNvPr id="23" name="ScrollBar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581775" y="1575435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57</xdr:row>
      <xdr:rowOff>333375</xdr:rowOff>
    </xdr:from>
    <xdr:to>
      <xdr:col>10</xdr:col>
      <xdr:colOff>2771775</xdr:colOff>
      <xdr:row>58</xdr:row>
      <xdr:rowOff>266700</xdr:rowOff>
    </xdr:to>
    <xdr:pic>
      <xdr:nvPicPr>
        <xdr:cNvPr id="24" name="ScrollBar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581775" y="16087725"/>
          <a:ext cx="2733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19050</xdr:rowOff>
    </xdr:from>
    <xdr:to>
      <xdr:col>10</xdr:col>
      <xdr:colOff>2771775</xdr:colOff>
      <xdr:row>62</xdr:row>
      <xdr:rowOff>171450</xdr:rowOff>
    </xdr:to>
    <xdr:pic>
      <xdr:nvPicPr>
        <xdr:cNvPr id="25" name="ScrollBar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581775" y="1724025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64</xdr:row>
      <xdr:rowOff>47625</xdr:rowOff>
    </xdr:from>
    <xdr:to>
      <xdr:col>10</xdr:col>
      <xdr:colOff>2771775</xdr:colOff>
      <xdr:row>64</xdr:row>
      <xdr:rowOff>200025</xdr:rowOff>
    </xdr:to>
    <xdr:pic>
      <xdr:nvPicPr>
        <xdr:cNvPr id="26" name="ScrollBar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581775" y="17726025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65</xdr:row>
      <xdr:rowOff>19050</xdr:rowOff>
    </xdr:from>
    <xdr:to>
      <xdr:col>10</xdr:col>
      <xdr:colOff>2771775</xdr:colOff>
      <xdr:row>65</xdr:row>
      <xdr:rowOff>171450</xdr:rowOff>
    </xdr:to>
    <xdr:pic>
      <xdr:nvPicPr>
        <xdr:cNvPr id="27" name="ScrollBar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581775" y="17926050"/>
          <a:ext cx="2733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0</xdr:rowOff>
    </xdr:from>
    <xdr:to>
      <xdr:col>8</xdr:col>
      <xdr:colOff>771525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3286125" y="581025"/>
        <a:ext cx="5105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itz@regnier.de" TargetMode="External" /><Relationship Id="rId2" Type="http://schemas.openxmlformats.org/officeDocument/2006/relationships/hyperlink" Target="http://moritz.regnier.de/" TargetMode="External" /><Relationship Id="rId3" Type="http://schemas.openxmlformats.org/officeDocument/2006/relationships/hyperlink" Target="http://fhdw.regnier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ritz@regnier.de" TargetMode="External" /><Relationship Id="rId2" Type="http://schemas.openxmlformats.org/officeDocument/2006/relationships/hyperlink" Target="http://fhdw.regnier.de/" TargetMode="External" /><Relationship Id="rId3" Type="http://schemas.openxmlformats.org/officeDocument/2006/relationships/hyperlink" Target="http://moritz.regnier.de/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ritz@regnier.de" TargetMode="External" /><Relationship Id="rId2" Type="http://schemas.openxmlformats.org/officeDocument/2006/relationships/hyperlink" Target="http://fhdw.regnier.de/" TargetMode="External" /><Relationship Id="rId3" Type="http://schemas.openxmlformats.org/officeDocument/2006/relationships/hyperlink" Target="http://moritz.regnier.de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oritz@regnier.de" TargetMode="External" /><Relationship Id="rId2" Type="http://schemas.openxmlformats.org/officeDocument/2006/relationships/hyperlink" Target="http://fhdw.regnier.de/" TargetMode="External" /><Relationship Id="rId3" Type="http://schemas.openxmlformats.org/officeDocument/2006/relationships/hyperlink" Target="http://moritz.regnier.de/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oritz@regnier.de" TargetMode="External" /><Relationship Id="rId2" Type="http://schemas.openxmlformats.org/officeDocument/2006/relationships/hyperlink" Target="http://fhdw.regnier.de/" TargetMode="External" /><Relationship Id="rId3" Type="http://schemas.openxmlformats.org/officeDocument/2006/relationships/hyperlink" Target="http://moritz.regnier.de/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oritz@regnier.de" TargetMode="External" /><Relationship Id="rId2" Type="http://schemas.openxmlformats.org/officeDocument/2006/relationships/hyperlink" Target="http://fhdw.regnier.de/" TargetMode="External" /><Relationship Id="rId3" Type="http://schemas.openxmlformats.org/officeDocument/2006/relationships/hyperlink" Target="http://moritz.regnier.de/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oritz@regnier.de" TargetMode="External" /><Relationship Id="rId2" Type="http://schemas.openxmlformats.org/officeDocument/2006/relationships/hyperlink" Target="http://fhdw.regnier.de/" TargetMode="External" /><Relationship Id="rId3" Type="http://schemas.openxmlformats.org/officeDocument/2006/relationships/hyperlink" Target="http://moritz.regnier.d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3:N10"/>
  <sheetViews>
    <sheetView tabSelected="1" workbookViewId="0" topLeftCell="A1">
      <selection activeCell="A1" sqref="A1"/>
    </sheetView>
  </sheetViews>
  <sheetFormatPr defaultColWidth="11.421875" defaultRowHeight="18" customHeight="1"/>
  <cols>
    <col min="1" max="1" width="5.8515625" style="11" customWidth="1"/>
    <col min="2" max="2" width="4.7109375" style="11" customWidth="1"/>
    <col min="3" max="3" width="7.7109375" style="11" customWidth="1"/>
    <col min="4" max="6" width="12.8515625" style="11" customWidth="1"/>
    <col min="7" max="7" width="5.140625" style="11" customWidth="1"/>
    <col min="8" max="8" width="3.140625" style="11" customWidth="1"/>
    <col min="9" max="9" width="5.00390625" style="11" customWidth="1"/>
    <col min="10" max="12" width="12.8515625" style="11" customWidth="1"/>
    <col min="13" max="13" width="7.7109375" style="11" customWidth="1"/>
    <col min="14" max="14" width="4.7109375" style="11" customWidth="1"/>
    <col min="15" max="15" width="5.8515625" style="11" customWidth="1"/>
    <col min="16" max="16384" width="11.421875" style="11" customWidth="1"/>
  </cols>
  <sheetData>
    <row r="1" ht="9.75" customHeight="1"/>
    <row r="2" ht="9.75" customHeight="1" thickBot="1"/>
    <row r="3" spans="2:14" ht="18" customHeight="1" thickBot="1">
      <c r="B3" s="141" t="s">
        <v>68</v>
      </c>
      <c r="C3" s="142"/>
      <c r="I3" s="77"/>
      <c r="J3" s="77"/>
      <c r="M3" s="141" t="s">
        <v>69</v>
      </c>
      <c r="N3" s="142"/>
    </row>
    <row r="4" spans="2:14" ht="19.5" customHeight="1">
      <c r="B4" s="3"/>
      <c r="C4" s="14"/>
      <c r="D4" s="22"/>
      <c r="E4" s="22"/>
      <c r="F4" s="22"/>
      <c r="G4" s="22"/>
      <c r="H4" s="78"/>
      <c r="I4" s="14"/>
      <c r="J4" s="14"/>
      <c r="K4" s="22"/>
      <c r="L4" s="22"/>
      <c r="M4" s="22"/>
      <c r="N4" s="23"/>
    </row>
    <row r="5" spans="2:14" ht="279" customHeight="1">
      <c r="B5" s="3"/>
      <c r="C5" s="139" t="s">
        <v>67</v>
      </c>
      <c r="D5" s="140"/>
      <c r="E5" s="140"/>
      <c r="F5" s="140"/>
      <c r="G5" s="14"/>
      <c r="H5" s="79"/>
      <c r="I5" s="14"/>
      <c r="J5" s="140" t="s">
        <v>191</v>
      </c>
      <c r="K5" s="140"/>
      <c r="L5" s="140"/>
      <c r="M5" s="140"/>
      <c r="N5" s="24"/>
    </row>
    <row r="6" spans="2:14" ht="19.5" customHeight="1" thickBot="1">
      <c r="B6" s="8"/>
      <c r="C6" s="25"/>
      <c r="D6" s="25"/>
      <c r="E6" s="25"/>
      <c r="F6" s="25"/>
      <c r="G6" s="25"/>
      <c r="H6" s="80"/>
      <c r="I6" s="25"/>
      <c r="J6" s="25"/>
      <c r="K6" s="25"/>
      <c r="L6" s="25"/>
      <c r="M6" s="25"/>
      <c r="N6" s="26"/>
    </row>
    <row r="7" ht="11.25" customHeight="1"/>
    <row r="8" ht="13.5" thickBot="1">
      <c r="B8" s="81" t="s">
        <v>64</v>
      </c>
    </row>
    <row r="9" spans="2:11" ht="16.5" customHeight="1" thickBot="1">
      <c r="B9" s="81" t="s">
        <v>66</v>
      </c>
      <c r="E9" s="136" t="s">
        <v>139</v>
      </c>
      <c r="F9" s="137" t="s">
        <v>140</v>
      </c>
      <c r="G9" s="138" t="s">
        <v>141</v>
      </c>
      <c r="H9" s="138"/>
      <c r="I9" s="234"/>
      <c r="J9" s="235" t="s">
        <v>61</v>
      </c>
      <c r="K9" s="236" t="s">
        <v>76</v>
      </c>
    </row>
    <row r="10" spans="2:11" ht="15.75" customHeight="1" thickBot="1">
      <c r="B10" s="81" t="s">
        <v>65</v>
      </c>
      <c r="E10" s="233"/>
      <c r="F10" s="233"/>
      <c r="G10" s="233"/>
      <c r="H10" s="233"/>
      <c r="I10" s="237" t="s">
        <v>192</v>
      </c>
      <c r="J10" s="238"/>
      <c r="K10" s="239" t="s">
        <v>193</v>
      </c>
    </row>
    <row r="11" ht="13.5" customHeight="1"/>
  </sheetData>
  <mergeCells count="5">
    <mergeCell ref="G9:I9"/>
    <mergeCell ref="C5:F5"/>
    <mergeCell ref="B3:C3"/>
    <mergeCell ref="M3:N3"/>
    <mergeCell ref="J5:M5"/>
  </mergeCells>
  <hyperlinks>
    <hyperlink ref="B8" r:id="rId1" display="Moritz@regnier.de"/>
    <hyperlink ref="B9" r:id="rId2" display="http://moritz.regnier.de"/>
    <hyperlink ref="B10" r:id="rId3" display="http://fhdw.regnier.de"/>
    <hyperlink ref="F9" location="Wertetabelle!A1" tooltip="1. Schritt: Werte eingeben" display="Wertetabelle"/>
    <hyperlink ref="G9:I9" location="GuV!A1" tooltip="Gewinn- und Verlustrechnung - Auswertung" display="GuV"/>
    <hyperlink ref="J9" location="Bilanz!A1" tooltip="Bilanz - Auswertung" display="Bilanz"/>
    <hyperlink ref="K9" location="Kennzahlen!A1" tooltip="Kennzahlen - Auswertung" display="Kennzahlen"/>
    <hyperlink ref="I10" location="'Finanzmodell Basis'!Druckbereich" display="Finanzmodell Basis"/>
    <hyperlink ref="K10" location="Finanzmodell!Druckbereich" display="Finanzmodell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5"/>
  <headerFooter alignWithMargins="0">
    <oddFooter>&amp;L&amp;8&amp;F &amp;A
Moritz Regnier&amp;R&amp;8&amp;D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B3:K72"/>
  <sheetViews>
    <sheetView workbookViewId="0" topLeftCell="A1">
      <pane xSplit="7" topLeftCell="H1" activePane="topRight" state="frozen"/>
      <selection pane="topLeft" activeCell="A16" sqref="A16"/>
      <selection pane="topRight" activeCell="A1" sqref="A1"/>
    </sheetView>
  </sheetViews>
  <sheetFormatPr defaultColWidth="11.421875" defaultRowHeight="12.75"/>
  <cols>
    <col min="1" max="1" width="3.7109375" style="48" customWidth="1"/>
    <col min="2" max="2" width="5.140625" style="48" customWidth="1"/>
    <col min="3" max="3" width="3.140625" style="12" bestFit="1" customWidth="1"/>
    <col min="4" max="4" width="37.7109375" style="12" bestFit="1" customWidth="1"/>
    <col min="5" max="6" width="13.8515625" style="12" customWidth="1"/>
    <col min="7" max="7" width="0.71875" style="12" customWidth="1"/>
    <col min="8" max="9" width="8.28125" style="12" customWidth="1"/>
    <col min="10" max="10" width="3.421875" style="12" customWidth="1"/>
    <col min="11" max="11" width="42.00390625" style="12" customWidth="1"/>
    <col min="12" max="12" width="3.421875" style="12" customWidth="1"/>
    <col min="13" max="13" width="14.00390625" style="12" customWidth="1"/>
    <col min="14" max="16384" width="14.28125" style="12" customWidth="1"/>
  </cols>
  <sheetData>
    <row r="1" ht="9.75" customHeight="1"/>
    <row r="2" ht="9.75" customHeight="1" thickBot="1"/>
    <row r="3" spans="2:11" ht="18" customHeight="1" thickBot="1">
      <c r="B3" s="84" t="s">
        <v>60</v>
      </c>
      <c r="C3" s="82"/>
      <c r="D3" s="83"/>
      <c r="K3" s="109" t="s">
        <v>73</v>
      </c>
    </row>
    <row r="4" spans="2:11" ht="18" customHeight="1">
      <c r="B4" s="49"/>
      <c r="C4" s="1"/>
      <c r="D4" s="1"/>
      <c r="E4" s="1"/>
      <c r="F4" s="1"/>
      <c r="G4" s="2"/>
      <c r="H4" s="58" t="s">
        <v>62</v>
      </c>
      <c r="K4" s="107"/>
    </row>
    <row r="5" spans="2:11" ht="18" customHeight="1">
      <c r="B5" s="50"/>
      <c r="C5" s="21" t="s">
        <v>70</v>
      </c>
      <c r="D5" s="15"/>
      <c r="E5" s="20" t="s">
        <v>18</v>
      </c>
      <c r="F5" s="19" t="s">
        <v>19</v>
      </c>
      <c r="G5" s="16"/>
      <c r="H5" s="59" t="s">
        <v>74</v>
      </c>
      <c r="I5" s="59" t="s">
        <v>19</v>
      </c>
      <c r="K5" s="107"/>
    </row>
    <row r="6" spans="2:11" ht="18" customHeight="1">
      <c r="B6" s="51"/>
      <c r="C6" s="4" t="s">
        <v>0</v>
      </c>
      <c r="D6" s="6" t="s">
        <v>1</v>
      </c>
      <c r="E6" s="42">
        <v>313524590</v>
      </c>
      <c r="F6" s="93">
        <v>300000000</v>
      </c>
      <c r="G6" s="5"/>
      <c r="H6" s="54">
        <v>1</v>
      </c>
      <c r="I6" s="60">
        <v>1</v>
      </c>
      <c r="K6" s="107"/>
    </row>
    <row r="7" spans="2:11" ht="18" customHeight="1">
      <c r="B7" s="51"/>
      <c r="C7" s="4" t="s">
        <v>2</v>
      </c>
      <c r="D7" s="7" t="s">
        <v>3</v>
      </c>
      <c r="E7" s="69">
        <v>0.1</v>
      </c>
      <c r="F7" s="70">
        <v>0.05</v>
      </c>
      <c r="G7" s="5"/>
      <c r="H7" s="56" t="str">
        <f>IF(SUM(E7:E9)=H6," ","Fehler!")</f>
        <v> </v>
      </c>
      <c r="I7" s="61" t="str">
        <f>IF(SUM(F7:F9)=I6," ","Fehler!")</f>
        <v> </v>
      </c>
      <c r="K7" s="107"/>
    </row>
    <row r="8" spans="2:11" ht="18" customHeight="1">
      <c r="B8" s="51"/>
      <c r="C8" s="4" t="s">
        <v>4</v>
      </c>
      <c r="D8" s="7" t="s">
        <v>5</v>
      </c>
      <c r="E8" s="69">
        <v>0.6</v>
      </c>
      <c r="F8" s="70">
        <v>0.55</v>
      </c>
      <c r="G8" s="5"/>
      <c r="H8" s="56" t="str">
        <f>IF(SUM(E7:E9)=H6," ","Fehler!")</f>
        <v> </v>
      </c>
      <c r="I8" s="61" t="str">
        <f>IF(SUM(F7:F9)=I6," ","Fehler!")</f>
        <v> </v>
      </c>
      <c r="K8" s="107"/>
    </row>
    <row r="9" spans="2:11" ht="18" customHeight="1">
      <c r="B9" s="51"/>
      <c r="C9" s="4" t="s">
        <v>6</v>
      </c>
      <c r="D9" s="7" t="s">
        <v>7</v>
      </c>
      <c r="E9" s="69">
        <v>0.3</v>
      </c>
      <c r="F9" s="70">
        <v>0.4</v>
      </c>
      <c r="G9" s="5"/>
      <c r="H9" s="56" t="str">
        <f>IF(SUM(E7:E9)=H6," ","Fehler!")</f>
        <v> </v>
      </c>
      <c r="I9" s="61" t="str">
        <f>IF(SUM(F7:F9)=I6," ","Fehler!")</f>
        <v> </v>
      </c>
      <c r="K9" s="107"/>
    </row>
    <row r="10" spans="2:11" ht="18" customHeight="1">
      <c r="B10" s="51"/>
      <c r="C10" s="4" t="s">
        <v>8</v>
      </c>
      <c r="D10" s="6" t="s">
        <v>9</v>
      </c>
      <c r="E10" s="42">
        <v>377049180</v>
      </c>
      <c r="F10" s="93">
        <v>370000000</v>
      </c>
      <c r="G10" s="5"/>
      <c r="H10" s="54">
        <v>1</v>
      </c>
      <c r="I10" s="62">
        <v>1</v>
      </c>
      <c r="K10" s="107"/>
    </row>
    <row r="11" spans="2:11" ht="18" customHeight="1">
      <c r="B11" s="51"/>
      <c r="C11" s="4" t="s">
        <v>2</v>
      </c>
      <c r="D11" s="7" t="s">
        <v>10</v>
      </c>
      <c r="E11" s="69">
        <v>0.5</v>
      </c>
      <c r="F11" s="70">
        <v>0.5</v>
      </c>
      <c r="G11" s="5"/>
      <c r="H11" s="57" t="str">
        <f>IF(SUM(E11:E14)=H10," ","Fehler!")</f>
        <v> </v>
      </c>
      <c r="I11" s="61" t="str">
        <f>IF(SUM(F11:F14)=I10," ","Fehler!")</f>
        <v> </v>
      </c>
      <c r="K11" s="107"/>
    </row>
    <row r="12" spans="2:11" ht="25.5">
      <c r="B12" s="51"/>
      <c r="C12" s="4" t="s">
        <v>4</v>
      </c>
      <c r="D12" s="7" t="s">
        <v>11</v>
      </c>
      <c r="E12" s="69">
        <v>0.3</v>
      </c>
      <c r="F12" s="70">
        <v>0.3</v>
      </c>
      <c r="G12" s="5"/>
      <c r="H12" s="57" t="str">
        <f>IF(SUM(E11:E14)=H10," ","Fehler!")</f>
        <v> </v>
      </c>
      <c r="I12" s="61" t="str">
        <f>IF(SUM(F11:F14)=I10," ","Fehler!")</f>
        <v> </v>
      </c>
      <c r="K12" s="107"/>
    </row>
    <row r="13" spans="2:11" ht="18" customHeight="1">
      <c r="B13" s="51"/>
      <c r="C13" s="4" t="s">
        <v>6</v>
      </c>
      <c r="D13" s="7" t="s">
        <v>12</v>
      </c>
      <c r="E13" s="69">
        <v>0.1</v>
      </c>
      <c r="F13" s="70">
        <v>0.1</v>
      </c>
      <c r="G13" s="5"/>
      <c r="H13" s="57" t="str">
        <f>IF(SUM(E11:E14)=H10," ","Fehler!")</f>
        <v> </v>
      </c>
      <c r="I13" s="61" t="str">
        <f>IF(SUM(F11:F14)=I10," ","Fehler!")</f>
        <v> </v>
      </c>
      <c r="K13" s="107"/>
    </row>
    <row r="14" spans="2:11" ht="41.25" customHeight="1">
      <c r="B14" s="51"/>
      <c r="C14" s="4" t="s">
        <v>13</v>
      </c>
      <c r="D14" s="7" t="s">
        <v>14</v>
      </c>
      <c r="E14" s="69">
        <v>0.1</v>
      </c>
      <c r="F14" s="70">
        <v>0.1</v>
      </c>
      <c r="G14" s="5"/>
      <c r="H14" s="57" t="str">
        <f>IF(SUM(E11:E14)=H10," ","Fehler!")</f>
        <v> </v>
      </c>
      <c r="I14" s="61" t="str">
        <f>IF(SUM(F11:F14)=I10," ","Fehler!")</f>
        <v> </v>
      </c>
      <c r="K14" s="107"/>
    </row>
    <row r="15" spans="2:11" ht="18" customHeight="1">
      <c r="B15" s="51"/>
      <c r="C15" s="4" t="s">
        <v>15</v>
      </c>
      <c r="D15" s="6" t="s">
        <v>16</v>
      </c>
      <c r="E15" s="42">
        <v>65573767</v>
      </c>
      <c r="F15" s="93">
        <v>65500000</v>
      </c>
      <c r="G15" s="5"/>
      <c r="I15" s="63"/>
      <c r="K15" s="107"/>
    </row>
    <row r="16" spans="2:11" ht="18" customHeight="1" thickBot="1">
      <c r="B16" s="52"/>
      <c r="C16" s="17"/>
      <c r="D16" s="66" t="s">
        <v>63</v>
      </c>
      <c r="E16" s="55">
        <f>SUM(E6,E10,E15)</f>
        <v>756147537</v>
      </c>
      <c r="F16" s="94">
        <f>SUM(F6,F10,F15)</f>
        <v>735500000</v>
      </c>
      <c r="G16" s="18"/>
      <c r="H16" s="67" t="s">
        <v>75</v>
      </c>
      <c r="K16" s="107"/>
    </row>
    <row r="17" spans="2:11" ht="18" customHeight="1" thickTop="1">
      <c r="B17" s="51"/>
      <c r="C17" s="4"/>
      <c r="D17" s="4"/>
      <c r="E17" s="4"/>
      <c r="F17" s="95"/>
      <c r="G17" s="5"/>
      <c r="K17" s="107"/>
    </row>
    <row r="18" spans="2:11" ht="18" customHeight="1">
      <c r="B18" s="50"/>
      <c r="C18" s="21" t="s">
        <v>71</v>
      </c>
      <c r="D18" s="15"/>
      <c r="E18" s="20" t="s">
        <v>18</v>
      </c>
      <c r="F18" s="19" t="s">
        <v>19</v>
      </c>
      <c r="G18" s="16"/>
      <c r="H18" s="13"/>
      <c r="I18" s="13"/>
      <c r="K18" s="107"/>
    </row>
    <row r="19" spans="2:11" ht="18" customHeight="1">
      <c r="B19" s="51"/>
      <c r="C19" s="6" t="s">
        <v>0</v>
      </c>
      <c r="D19" s="6" t="s">
        <v>21</v>
      </c>
      <c r="E19" s="42">
        <f>SUM(E20:E24)</f>
        <v>614754096</v>
      </c>
      <c r="F19" s="93">
        <v>600000000</v>
      </c>
      <c r="G19" s="89"/>
      <c r="H19" s="90"/>
      <c r="I19" s="90"/>
      <c r="K19" s="107"/>
    </row>
    <row r="20" spans="2:11" ht="18" customHeight="1">
      <c r="B20" s="51"/>
      <c r="C20" s="6" t="s">
        <v>2</v>
      </c>
      <c r="D20" s="7" t="s">
        <v>22</v>
      </c>
      <c r="E20" s="44">
        <v>84016393</v>
      </c>
      <c r="F20" s="96">
        <v>80000000</v>
      </c>
      <c r="G20" s="89"/>
      <c r="H20" s="90"/>
      <c r="I20" s="90"/>
      <c r="K20" s="107"/>
    </row>
    <row r="21" spans="2:11" ht="18" customHeight="1">
      <c r="B21" s="51"/>
      <c r="C21" s="6" t="s">
        <v>4</v>
      </c>
      <c r="D21" s="7" t="s">
        <v>23</v>
      </c>
      <c r="E21" s="44">
        <v>88114754</v>
      </c>
      <c r="F21" s="96">
        <v>80000000</v>
      </c>
      <c r="G21" s="89"/>
      <c r="H21" s="90"/>
      <c r="I21" s="90"/>
      <c r="K21" s="107"/>
    </row>
    <row r="22" spans="2:11" ht="18" customHeight="1">
      <c r="B22" s="51"/>
      <c r="C22" s="6" t="s">
        <v>6</v>
      </c>
      <c r="D22" s="7" t="s">
        <v>24</v>
      </c>
      <c r="E22" s="44">
        <v>98360655</v>
      </c>
      <c r="F22" s="96">
        <v>80000000</v>
      </c>
      <c r="G22" s="89"/>
      <c r="H22" s="90"/>
      <c r="I22" s="90"/>
      <c r="K22" s="107"/>
    </row>
    <row r="23" spans="2:11" ht="18" customHeight="1">
      <c r="B23" s="51"/>
      <c r="C23" s="6" t="s">
        <v>13</v>
      </c>
      <c r="D23" s="7" t="s">
        <v>25</v>
      </c>
      <c r="E23" s="44">
        <v>67622950</v>
      </c>
      <c r="F23" s="96">
        <v>60000000</v>
      </c>
      <c r="G23" s="89"/>
      <c r="H23" s="90"/>
      <c r="I23" s="90"/>
      <c r="K23" s="107"/>
    </row>
    <row r="24" spans="2:11" ht="18" customHeight="1">
      <c r="B24" s="51"/>
      <c r="C24" s="6" t="s">
        <v>26</v>
      </c>
      <c r="D24" s="7" t="s">
        <v>27</v>
      </c>
      <c r="E24" s="45">
        <f>E67</f>
        <v>276639344</v>
      </c>
      <c r="F24" s="96">
        <f>F67</f>
        <v>44000000</v>
      </c>
      <c r="G24" s="5"/>
      <c r="H24" s="57"/>
      <c r="I24" s="56"/>
      <c r="K24" s="107"/>
    </row>
    <row r="25" spans="2:11" ht="18" customHeight="1">
      <c r="B25" s="51"/>
      <c r="C25" s="6" t="s">
        <v>8</v>
      </c>
      <c r="D25" s="6" t="s">
        <v>28</v>
      </c>
      <c r="E25" s="42">
        <v>55327868</v>
      </c>
      <c r="F25" s="93">
        <v>55000000</v>
      </c>
      <c r="G25" s="5"/>
      <c r="H25" s="59" t="s">
        <v>74</v>
      </c>
      <c r="I25" s="59" t="s">
        <v>19</v>
      </c>
      <c r="K25" s="107"/>
    </row>
    <row r="26" spans="2:11" ht="18" customHeight="1">
      <c r="B26" s="51"/>
      <c r="C26" s="6" t="s">
        <v>15</v>
      </c>
      <c r="D26" s="6" t="s">
        <v>29</v>
      </c>
      <c r="E26" s="42">
        <v>75819672</v>
      </c>
      <c r="F26" s="93">
        <v>60000000</v>
      </c>
      <c r="G26" s="5"/>
      <c r="H26" s="54">
        <v>1</v>
      </c>
      <c r="I26" s="60">
        <v>1</v>
      </c>
      <c r="K26" s="107"/>
    </row>
    <row r="27" spans="2:11" ht="15.75" customHeight="1">
      <c r="B27" s="51"/>
      <c r="C27" s="6" t="s">
        <v>129</v>
      </c>
      <c r="D27" s="130" t="s">
        <v>138</v>
      </c>
      <c r="E27" s="131">
        <v>0.1</v>
      </c>
      <c r="F27" s="70">
        <v>0.1</v>
      </c>
      <c r="G27" s="5"/>
      <c r="H27" s="56" t="str">
        <f>IF(SUM(E27:E31)=H26," ","Fehler!")</f>
        <v> </v>
      </c>
      <c r="I27" s="61" t="str">
        <f>IF(SUM(F27:F31)=I26," ","Fehler!")</f>
        <v> </v>
      </c>
      <c r="K27" s="107"/>
    </row>
    <row r="28" spans="2:11" ht="25.5">
      <c r="B28" s="51"/>
      <c r="C28" s="6" t="s">
        <v>130</v>
      </c>
      <c r="D28" s="7" t="s">
        <v>134</v>
      </c>
      <c r="E28" s="131">
        <v>0.25</v>
      </c>
      <c r="F28" s="70">
        <v>0.25</v>
      </c>
      <c r="G28" s="5"/>
      <c r="H28" s="56" t="str">
        <f>IF(SUM(E27:E31)=H26," ","Fehler!")</f>
        <v> </v>
      </c>
      <c r="I28" s="61" t="str">
        <f>IF(SUM(F27:F31)=I26," ","Fehler!")</f>
        <v> </v>
      </c>
      <c r="K28" s="107"/>
    </row>
    <row r="29" spans="2:11" ht="25.5">
      <c r="B29" s="51"/>
      <c r="C29" s="6" t="s">
        <v>131</v>
      </c>
      <c r="D29" s="7" t="s">
        <v>135</v>
      </c>
      <c r="E29" s="131">
        <v>0.5</v>
      </c>
      <c r="F29" s="70">
        <v>0.5</v>
      </c>
      <c r="G29" s="5"/>
      <c r="H29" s="56" t="str">
        <f>IF(SUM(E27:E31)=H26," ","Fehler!")</f>
        <v> </v>
      </c>
      <c r="I29" s="61" t="str">
        <f>IF(SUM(F27:F31)=I26," ","Fehler!")</f>
        <v> </v>
      </c>
      <c r="K29" s="107"/>
    </row>
    <row r="30" spans="2:11" ht="38.25">
      <c r="B30" s="51"/>
      <c r="C30" s="6" t="s">
        <v>132</v>
      </c>
      <c r="D30" s="7" t="s">
        <v>137</v>
      </c>
      <c r="E30" s="131">
        <v>0.1</v>
      </c>
      <c r="F30" s="70">
        <v>0.1</v>
      </c>
      <c r="G30" s="5"/>
      <c r="H30" s="56" t="str">
        <f>IF(SUM(E27:E31)=H26," ","Fehler!")</f>
        <v> </v>
      </c>
      <c r="I30" s="61" t="str">
        <f>IF(SUM(F27:F31)=I26," ","Fehler!")</f>
        <v> </v>
      </c>
      <c r="K30" s="107"/>
    </row>
    <row r="31" spans="2:11" ht="18" customHeight="1">
      <c r="B31" s="51"/>
      <c r="C31" s="6" t="s">
        <v>133</v>
      </c>
      <c r="D31" s="7" t="s">
        <v>136</v>
      </c>
      <c r="E31" s="131">
        <v>0.05</v>
      </c>
      <c r="F31" s="70">
        <v>0.05</v>
      </c>
      <c r="G31" s="5"/>
      <c r="H31" s="56" t="str">
        <f>IF(SUM(E27:E31)=H26," ","Fehler!")</f>
        <v> </v>
      </c>
      <c r="I31" s="61" t="str">
        <f>IF(SUM(F27:F31)=I26," ","Fehler!")</f>
        <v> </v>
      </c>
      <c r="K31" s="107"/>
    </row>
    <row r="32" spans="2:11" ht="18" customHeight="1">
      <c r="B32" s="51"/>
      <c r="C32" s="6" t="s">
        <v>30</v>
      </c>
      <c r="D32" s="6" t="s">
        <v>16</v>
      </c>
      <c r="E32" s="42">
        <v>10245901</v>
      </c>
      <c r="F32" s="93">
        <v>20500000</v>
      </c>
      <c r="G32" s="5"/>
      <c r="H32" s="57"/>
      <c r="I32" s="56"/>
      <c r="K32" s="107"/>
    </row>
    <row r="33" spans="2:11" ht="18" customHeight="1" thickBot="1">
      <c r="B33" s="53"/>
      <c r="C33" s="9"/>
      <c r="D33" s="65">
        <f>E33-E16</f>
        <v>0</v>
      </c>
      <c r="E33" s="64">
        <f>SUM(E19,E25,E26,E32)</f>
        <v>756147537</v>
      </c>
      <c r="F33" s="97">
        <f>SUM(F19,F25,F26,F32)</f>
        <v>735500000</v>
      </c>
      <c r="G33" s="10"/>
      <c r="H33" s="68">
        <f>F33-F16</f>
        <v>0</v>
      </c>
      <c r="I33" s="13"/>
      <c r="K33" s="107"/>
    </row>
    <row r="34" spans="6:11" ht="18" customHeight="1">
      <c r="F34" s="98"/>
      <c r="K34" s="107"/>
    </row>
    <row r="35" spans="6:11" ht="18" customHeight="1" thickBot="1">
      <c r="F35" s="98"/>
      <c r="K35" s="107"/>
    </row>
    <row r="36" spans="2:11" ht="18" customHeight="1">
      <c r="B36" s="28"/>
      <c r="C36" s="33"/>
      <c r="D36" s="33"/>
      <c r="E36" s="33"/>
      <c r="F36" s="99"/>
      <c r="K36" s="107"/>
    </row>
    <row r="37" spans="2:11" ht="18" customHeight="1">
      <c r="B37" s="29"/>
      <c r="C37" s="34" t="s">
        <v>59</v>
      </c>
      <c r="D37" s="35"/>
      <c r="E37" s="19" t="s">
        <v>18</v>
      </c>
      <c r="F37" s="103" t="s">
        <v>19</v>
      </c>
      <c r="H37" s="47"/>
      <c r="K37" s="107"/>
    </row>
    <row r="38" spans="2:11" ht="18" customHeight="1">
      <c r="B38" s="30"/>
      <c r="C38" s="37"/>
      <c r="D38" s="6" t="s">
        <v>31</v>
      </c>
      <c r="E38" s="46">
        <v>391393442</v>
      </c>
      <c r="F38" s="100">
        <v>350000000</v>
      </c>
      <c r="H38" s="47"/>
      <c r="K38" s="107"/>
    </row>
    <row r="39" spans="2:11" ht="41.25" customHeight="1">
      <c r="B39" s="30"/>
      <c r="C39" s="37"/>
      <c r="D39" s="6" t="s">
        <v>32</v>
      </c>
      <c r="E39" s="46">
        <v>262295081</v>
      </c>
      <c r="F39" s="100">
        <v>50000000</v>
      </c>
      <c r="H39" s="47"/>
      <c r="K39" s="107"/>
    </row>
    <row r="40" spans="2:11" ht="18" customHeight="1">
      <c r="B40" s="30"/>
      <c r="C40" s="37"/>
      <c r="D40" s="6" t="s">
        <v>33</v>
      </c>
      <c r="E40" s="46">
        <v>198770491</v>
      </c>
      <c r="F40" s="100">
        <v>0</v>
      </c>
      <c r="H40" s="47"/>
      <c r="K40" s="107"/>
    </row>
    <row r="41" spans="2:11" ht="18" customHeight="1">
      <c r="B41" s="30"/>
      <c r="C41" s="37"/>
      <c r="D41" s="74" t="s">
        <v>34</v>
      </c>
      <c r="E41" s="75">
        <v>276639344</v>
      </c>
      <c r="F41" s="102">
        <v>0</v>
      </c>
      <c r="H41" s="47"/>
      <c r="K41" s="107"/>
    </row>
    <row r="42" spans="2:11" ht="18" customHeight="1">
      <c r="B42" s="30"/>
      <c r="C42" s="37"/>
      <c r="D42" s="6" t="s">
        <v>35</v>
      </c>
      <c r="E42" s="46">
        <v>161885245</v>
      </c>
      <c r="F42" s="100">
        <v>50000000</v>
      </c>
      <c r="H42" s="47"/>
      <c r="K42" s="107"/>
    </row>
    <row r="43" spans="2:11" ht="29.25" customHeight="1">
      <c r="B43" s="30"/>
      <c r="C43" s="37"/>
      <c r="D43" s="7" t="s">
        <v>36</v>
      </c>
      <c r="E43" s="72">
        <v>0.7</v>
      </c>
      <c r="F43" s="73">
        <v>0</v>
      </c>
      <c r="H43" s="47"/>
      <c r="K43" s="107"/>
    </row>
    <row r="44" spans="2:11" ht="18" customHeight="1">
      <c r="B44" s="30"/>
      <c r="C44" s="37"/>
      <c r="D44" s="7" t="s">
        <v>37</v>
      </c>
      <c r="E44" s="72">
        <f>1-E43</f>
        <v>0.30000000000000004</v>
      </c>
      <c r="F44" s="73">
        <f>1-F43</f>
        <v>1</v>
      </c>
      <c r="H44" s="47"/>
      <c r="K44" s="107"/>
    </row>
    <row r="45" spans="2:11" ht="18" customHeight="1">
      <c r="B45" s="30"/>
      <c r="C45" s="37"/>
      <c r="D45" s="6" t="s">
        <v>38</v>
      </c>
      <c r="E45" s="46">
        <v>250000000</v>
      </c>
      <c r="F45" s="100">
        <v>250000000</v>
      </c>
      <c r="H45" s="47"/>
      <c r="K45" s="107"/>
    </row>
    <row r="46" spans="2:11" ht="18" customHeight="1">
      <c r="B46" s="30"/>
      <c r="C46" s="37"/>
      <c r="D46" s="7" t="s">
        <v>39</v>
      </c>
      <c r="E46" s="72">
        <v>0.8</v>
      </c>
      <c r="F46" s="73">
        <v>0.8</v>
      </c>
      <c r="H46" s="47"/>
      <c r="K46" s="107"/>
    </row>
    <row r="47" spans="2:11" ht="41.25" customHeight="1">
      <c r="B47" s="30"/>
      <c r="C47" s="37"/>
      <c r="D47" s="7" t="s">
        <v>40</v>
      </c>
      <c r="E47" s="72">
        <f>1-E46</f>
        <v>0.19999999999999996</v>
      </c>
      <c r="F47" s="73">
        <f>1-F46</f>
        <v>0.19999999999999996</v>
      </c>
      <c r="H47" s="47"/>
      <c r="K47" s="107"/>
    </row>
    <row r="48" spans="2:11" ht="18" customHeight="1">
      <c r="B48" s="30"/>
      <c r="C48" s="37"/>
      <c r="D48" s="6" t="s">
        <v>41</v>
      </c>
      <c r="E48" s="46">
        <v>165983606</v>
      </c>
      <c r="F48" s="100">
        <v>234000000</v>
      </c>
      <c r="H48" s="47"/>
      <c r="K48" s="107"/>
    </row>
    <row r="49" spans="2:11" ht="80.25" customHeight="1">
      <c r="B49" s="30"/>
      <c r="C49" s="37"/>
      <c r="D49" s="7" t="s">
        <v>42</v>
      </c>
      <c r="E49" s="72">
        <v>0.96</v>
      </c>
      <c r="F49" s="73">
        <v>0.9</v>
      </c>
      <c r="H49" s="47"/>
      <c r="K49" s="107"/>
    </row>
    <row r="50" spans="2:11" ht="53.25" customHeight="1">
      <c r="B50" s="30"/>
      <c r="C50" s="37"/>
      <c r="D50" s="7" t="s">
        <v>43</v>
      </c>
      <c r="E50" s="72">
        <f>1-E49</f>
        <v>0.040000000000000036</v>
      </c>
      <c r="F50" s="73">
        <f>1-F49</f>
        <v>0.09999999999999998</v>
      </c>
      <c r="H50" s="47"/>
      <c r="K50" s="107"/>
    </row>
    <row r="51" spans="2:11" ht="18" customHeight="1">
      <c r="B51" s="30"/>
      <c r="C51" s="37"/>
      <c r="D51" s="74" t="s">
        <v>44</v>
      </c>
      <c r="E51" s="75">
        <v>198770491</v>
      </c>
      <c r="F51" s="102">
        <v>172000000</v>
      </c>
      <c r="H51" s="47"/>
      <c r="K51" s="107"/>
    </row>
    <row r="52" spans="2:11" ht="12.75">
      <c r="B52" s="30"/>
      <c r="C52" s="37"/>
      <c r="D52" s="6" t="s">
        <v>45</v>
      </c>
      <c r="E52" s="46">
        <v>176229508</v>
      </c>
      <c r="F52" s="100">
        <v>200000000</v>
      </c>
      <c r="H52" s="47"/>
      <c r="K52" s="107"/>
    </row>
    <row r="53" spans="2:11" ht="14.25" customHeight="1">
      <c r="B53" s="30"/>
      <c r="C53" s="37"/>
      <c r="D53" s="7" t="s">
        <v>46</v>
      </c>
      <c r="E53" s="72">
        <v>0.12</v>
      </c>
      <c r="F53" s="73">
        <v>0.6</v>
      </c>
      <c r="H53" s="47"/>
      <c r="K53" s="107"/>
    </row>
    <row r="54" spans="2:11" ht="38.25">
      <c r="B54" s="30"/>
      <c r="C54" s="37"/>
      <c r="D54" s="6" t="s">
        <v>47</v>
      </c>
      <c r="E54" s="46">
        <v>127049180</v>
      </c>
      <c r="F54" s="100">
        <v>25000000</v>
      </c>
      <c r="H54" s="47"/>
      <c r="K54" s="107"/>
    </row>
    <row r="55" spans="2:11" ht="15" customHeight="1">
      <c r="B55" s="30"/>
      <c r="C55" s="37"/>
      <c r="D55" s="7" t="s">
        <v>46</v>
      </c>
      <c r="E55" s="72">
        <v>0.07</v>
      </c>
      <c r="F55" s="73">
        <v>0</v>
      </c>
      <c r="H55" s="47"/>
      <c r="K55" s="107"/>
    </row>
    <row r="56" spans="2:11" ht="25.5">
      <c r="B56" s="30"/>
      <c r="C56" s="37"/>
      <c r="D56" s="6" t="s">
        <v>48</v>
      </c>
      <c r="E56" s="46">
        <v>69672131</v>
      </c>
      <c r="F56" s="100">
        <v>25000000</v>
      </c>
      <c r="H56" s="47"/>
      <c r="K56" s="107"/>
    </row>
    <row r="57" spans="2:11" ht="14.25" customHeight="1">
      <c r="B57" s="30"/>
      <c r="C57" s="37"/>
      <c r="D57" s="7" t="s">
        <v>46</v>
      </c>
      <c r="E57" s="72">
        <v>0.15</v>
      </c>
      <c r="F57" s="73">
        <v>0</v>
      </c>
      <c r="H57" s="47"/>
      <c r="K57" s="107"/>
    </row>
    <row r="58" spans="2:11" ht="27.75" customHeight="1">
      <c r="B58" s="30"/>
      <c r="C58" s="37"/>
      <c r="D58" s="6" t="s">
        <v>49</v>
      </c>
      <c r="E58" s="46">
        <v>104508196</v>
      </c>
      <c r="F58" s="100">
        <v>0</v>
      </c>
      <c r="H58" s="47"/>
      <c r="K58" s="107"/>
    </row>
    <row r="59" spans="2:11" ht="25.5">
      <c r="B59" s="30"/>
      <c r="C59" s="37"/>
      <c r="D59" s="6" t="s">
        <v>50</v>
      </c>
      <c r="E59" s="46">
        <v>90163934</v>
      </c>
      <c r="F59" s="100">
        <v>0</v>
      </c>
      <c r="H59" s="47"/>
      <c r="K59" s="107"/>
    </row>
    <row r="60" spans="2:11" ht="15.75" customHeight="1">
      <c r="B60" s="30"/>
      <c r="C60" s="37"/>
      <c r="D60" s="7" t="s">
        <v>51</v>
      </c>
      <c r="E60" s="72">
        <v>0</v>
      </c>
      <c r="F60" s="73">
        <v>0.05</v>
      </c>
      <c r="H60" s="47"/>
      <c r="K60" s="107"/>
    </row>
    <row r="61" spans="2:11" ht="28.5" customHeight="1">
      <c r="B61" s="30"/>
      <c r="C61" s="37"/>
      <c r="D61" s="74" t="s">
        <v>52</v>
      </c>
      <c r="E61" s="75">
        <f>SUM(E38:E41,E52,E54,E56)-SUM(E42,E45,E48,E51,E58,E59)</f>
        <v>530737705</v>
      </c>
      <c r="F61" s="102">
        <f>SUM(F38:F41,F52,F54,F56)-SUM(F42,F45,F48,F51,F58,F59)</f>
        <v>-56000000</v>
      </c>
      <c r="H61" s="47"/>
      <c r="K61" s="107"/>
    </row>
    <row r="62" spans="2:11" ht="18" customHeight="1">
      <c r="B62" s="30"/>
      <c r="C62" s="37"/>
      <c r="D62" s="6" t="s">
        <v>53</v>
      </c>
      <c r="E62" s="46">
        <v>155737704</v>
      </c>
      <c r="F62" s="100">
        <v>220000000</v>
      </c>
      <c r="H62" s="47"/>
      <c r="K62" s="107"/>
    </row>
    <row r="63" spans="2:11" ht="18" customHeight="1">
      <c r="B63" s="30"/>
      <c r="C63" s="37"/>
      <c r="D63" s="6" t="s">
        <v>54</v>
      </c>
      <c r="E63" s="46">
        <v>170081967</v>
      </c>
      <c r="F63" s="100">
        <v>0</v>
      </c>
      <c r="H63" s="47"/>
      <c r="K63" s="107"/>
    </row>
    <row r="64" spans="2:11" ht="18" customHeight="1">
      <c r="B64" s="30"/>
      <c r="C64" s="37"/>
      <c r="D64" s="74" t="s">
        <v>55</v>
      </c>
      <c r="E64" s="75">
        <f>E62-E63</f>
        <v>-14344263</v>
      </c>
      <c r="F64" s="102">
        <f>F62-F63</f>
        <v>220000000</v>
      </c>
      <c r="H64" s="47"/>
      <c r="K64" s="107"/>
    </row>
    <row r="65" spans="2:11" ht="18" customHeight="1">
      <c r="B65" s="30"/>
      <c r="C65" s="37"/>
      <c r="D65" s="6" t="s">
        <v>56</v>
      </c>
      <c r="E65" s="46">
        <v>127049180</v>
      </c>
      <c r="F65" s="100">
        <v>110000000</v>
      </c>
      <c r="H65" s="47"/>
      <c r="K65" s="107"/>
    </row>
    <row r="66" spans="2:11" ht="18" customHeight="1">
      <c r="B66" s="30"/>
      <c r="C66" s="37"/>
      <c r="D66" s="6" t="s">
        <v>57</v>
      </c>
      <c r="E66" s="46">
        <v>112704918</v>
      </c>
      <c r="F66" s="100">
        <v>10000000</v>
      </c>
      <c r="H66" s="47"/>
      <c r="K66" s="107"/>
    </row>
    <row r="67" spans="2:11" ht="18" customHeight="1">
      <c r="B67" s="30"/>
      <c r="C67" s="37"/>
      <c r="D67" s="106" t="s">
        <v>58</v>
      </c>
      <c r="E67" s="104">
        <f>E61+E64-E65-E66</f>
        <v>276639344</v>
      </c>
      <c r="F67" s="105">
        <f>F61+F64-F65-F66</f>
        <v>44000000</v>
      </c>
      <c r="H67" s="47"/>
      <c r="K67" s="107"/>
    </row>
    <row r="68" spans="2:11" ht="18" customHeight="1" thickBot="1">
      <c r="B68" s="32"/>
      <c r="C68" s="39"/>
      <c r="D68" s="39"/>
      <c r="E68" s="71"/>
      <c r="F68" s="101"/>
      <c r="K68" s="108"/>
    </row>
    <row r="69" ht="18" customHeight="1"/>
    <row r="70" ht="18" customHeight="1">
      <c r="B70" s="76" t="s">
        <v>64</v>
      </c>
    </row>
    <row r="71" ht="18" customHeight="1">
      <c r="B71" s="76" t="s">
        <v>66</v>
      </c>
    </row>
    <row r="72" ht="21.75" customHeight="1">
      <c r="B72" s="76" t="s">
        <v>65</v>
      </c>
    </row>
  </sheetData>
  <conditionalFormatting sqref="H7:I9 H20:I22 H27:I31">
    <cfRule type="expression" priority="1" dxfId="0" stopIfTrue="1">
      <formula>"&lt;&gt;summe($E$7:$E$9)"</formula>
    </cfRule>
  </conditionalFormatting>
  <conditionalFormatting sqref="D33">
    <cfRule type="cellIs" priority="2" dxfId="1" operator="equal" stopIfTrue="1">
      <formula>0</formula>
    </cfRule>
  </conditionalFormatting>
  <conditionalFormatting sqref="H33">
    <cfRule type="cellIs" priority="3" dxfId="2" operator="equal" stopIfTrue="1">
      <formula>0</formula>
    </cfRule>
  </conditionalFormatting>
  <conditionalFormatting sqref="H16">
    <cfRule type="expression" priority="4" dxfId="2" stopIfTrue="1">
      <formula>$F$16-$F$33=0</formula>
    </cfRule>
  </conditionalFormatting>
  <conditionalFormatting sqref="D16">
    <cfRule type="expression" priority="5" dxfId="3" stopIfTrue="1">
      <formula>$E$16-$E$33=0</formula>
    </cfRule>
  </conditionalFormatting>
  <hyperlinks>
    <hyperlink ref="B70" r:id="rId1" display="Moritz@regnier.de"/>
    <hyperlink ref="B72" r:id="rId2" display="http://fhdw.regnier.de"/>
    <hyperlink ref="B71" r:id="rId3" display="http://moritz.regnier.d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7"/>
  <headerFooter alignWithMargins="0">
    <oddFooter>&amp;L&amp;8&amp;F &amp;A
Moritz Regnier&amp;R&amp;8&amp;D</oddFooter>
  </headerFooter>
  <rowBreaks count="1" manualBreakCount="1">
    <brk id="34" max="255" man="1"/>
  </rowBreaks>
  <drawing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43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27" customWidth="1"/>
    <col min="2" max="2" width="5.140625" style="27" customWidth="1"/>
    <col min="3" max="3" width="3.140625" style="27" customWidth="1"/>
    <col min="4" max="4" width="37.7109375" style="27" customWidth="1"/>
    <col min="5" max="5" width="16.28125" style="27" bestFit="1" customWidth="1"/>
    <col min="6" max="6" width="14.8515625" style="27" bestFit="1" customWidth="1"/>
    <col min="7" max="7" width="5.8515625" style="27" customWidth="1"/>
    <col min="8" max="8" width="5.7109375" style="27" customWidth="1"/>
    <col min="9" max="9" width="11.7109375" style="41" customWidth="1"/>
    <col min="10" max="16384" width="11.421875" style="27" customWidth="1"/>
  </cols>
  <sheetData>
    <row r="1" spans="1:11" ht="9.75" customHeight="1">
      <c r="A1" s="41"/>
      <c r="B1" s="41"/>
      <c r="C1" s="41"/>
      <c r="D1" s="41"/>
      <c r="E1" s="41"/>
      <c r="F1" s="41"/>
      <c r="G1" s="41"/>
      <c r="H1" s="41"/>
      <c r="J1" s="41"/>
      <c r="K1" s="41"/>
    </row>
    <row r="2" spans="1:8" ht="9.75" customHeight="1" thickBot="1">
      <c r="A2" s="41"/>
      <c r="B2" s="41"/>
      <c r="C2" s="41"/>
      <c r="D2" s="41"/>
      <c r="E2" s="41"/>
      <c r="F2" s="41"/>
      <c r="G2" s="41"/>
      <c r="H2" s="41"/>
    </row>
    <row r="3" spans="1:8" ht="18" customHeight="1" thickBot="1">
      <c r="A3" s="41"/>
      <c r="B3" s="132" t="s">
        <v>59</v>
      </c>
      <c r="C3" s="133"/>
      <c r="D3" s="134"/>
      <c r="E3" s="41"/>
      <c r="F3" s="41"/>
      <c r="G3" s="41"/>
      <c r="H3" s="41"/>
    </row>
    <row r="4" spans="1:7" ht="18" customHeight="1">
      <c r="A4" s="41"/>
      <c r="B4" s="28"/>
      <c r="C4" s="33"/>
      <c r="D4" s="33"/>
      <c r="E4" s="33"/>
      <c r="F4" s="1"/>
      <c r="G4" s="135"/>
    </row>
    <row r="5" spans="1:7" ht="18" customHeight="1">
      <c r="A5" s="41"/>
      <c r="B5" s="29"/>
      <c r="C5" s="34" t="s">
        <v>59</v>
      </c>
      <c r="D5" s="35"/>
      <c r="E5" s="19" t="s">
        <v>18</v>
      </c>
      <c r="F5" s="35" t="s">
        <v>19</v>
      </c>
      <c r="G5" s="36"/>
    </row>
    <row r="6" spans="1:7" ht="18" customHeight="1">
      <c r="A6" s="41"/>
      <c r="B6" s="30"/>
      <c r="C6" s="37"/>
      <c r="D6" s="6" t="s">
        <v>31</v>
      </c>
      <c r="E6" s="46">
        <f>Wertetabelle!E38</f>
        <v>391393442</v>
      </c>
      <c r="F6" s="46">
        <f>Wertetabelle!F38</f>
        <v>350000000</v>
      </c>
      <c r="G6" s="38"/>
    </row>
    <row r="7" spans="1:7" ht="40.5" customHeight="1">
      <c r="A7" s="41"/>
      <c r="B7" s="30"/>
      <c r="C7" s="37"/>
      <c r="D7" s="6" t="s">
        <v>32</v>
      </c>
      <c r="E7" s="46">
        <f>Wertetabelle!E39</f>
        <v>262295081</v>
      </c>
      <c r="F7" s="46">
        <f>Wertetabelle!F39</f>
        <v>50000000</v>
      </c>
      <c r="G7" s="38"/>
    </row>
    <row r="8" spans="1:7" ht="18" customHeight="1">
      <c r="A8" s="41"/>
      <c r="B8" s="30"/>
      <c r="C8" s="37"/>
      <c r="D8" s="6" t="s">
        <v>33</v>
      </c>
      <c r="E8" s="46">
        <f>Wertetabelle!E40</f>
        <v>198770491</v>
      </c>
      <c r="F8" s="46">
        <f>Wertetabelle!F40</f>
        <v>0</v>
      </c>
      <c r="G8" s="38"/>
    </row>
    <row r="9" spans="1:7" ht="18" customHeight="1">
      <c r="A9" s="41"/>
      <c r="B9" s="30"/>
      <c r="C9" s="37"/>
      <c r="D9" s="74" t="s">
        <v>34</v>
      </c>
      <c r="E9" s="75">
        <f>Wertetabelle!E41</f>
        <v>276639344</v>
      </c>
      <c r="F9" s="75">
        <f>Wertetabelle!F41</f>
        <v>0</v>
      </c>
      <c r="G9" s="36"/>
    </row>
    <row r="10" spans="1:7" ht="18" customHeight="1">
      <c r="A10" s="41"/>
      <c r="B10" s="30"/>
      <c r="C10" s="37"/>
      <c r="D10" s="6" t="s">
        <v>35</v>
      </c>
      <c r="E10" s="46">
        <f>Wertetabelle!E42</f>
        <v>161885245</v>
      </c>
      <c r="F10" s="46">
        <f>Wertetabelle!F42</f>
        <v>50000000</v>
      </c>
      <c r="G10" s="38"/>
    </row>
    <row r="11" spans="1:7" ht="29.25" customHeight="1">
      <c r="A11" s="41"/>
      <c r="B11" s="30"/>
      <c r="C11" s="37"/>
      <c r="D11" s="7" t="s">
        <v>36</v>
      </c>
      <c r="E11" s="46">
        <f>E10*Wertetabelle!E43</f>
        <v>113319671.5</v>
      </c>
      <c r="F11" s="46">
        <f>F10*Wertetabelle!F43</f>
        <v>0</v>
      </c>
      <c r="G11" s="38"/>
    </row>
    <row r="12" spans="1:7" ht="18" customHeight="1">
      <c r="A12" s="41"/>
      <c r="B12" s="30"/>
      <c r="C12" s="37"/>
      <c r="D12" s="7" t="s">
        <v>37</v>
      </c>
      <c r="E12" s="46">
        <f>E10*Wertetabelle!E44</f>
        <v>48565573.50000001</v>
      </c>
      <c r="F12" s="46">
        <f>F10*Wertetabelle!F44</f>
        <v>50000000</v>
      </c>
      <c r="G12" s="38"/>
    </row>
    <row r="13" spans="1:7" ht="18" customHeight="1">
      <c r="A13" s="41"/>
      <c r="B13" s="30"/>
      <c r="C13" s="37"/>
      <c r="D13" s="6" t="s">
        <v>38</v>
      </c>
      <c r="E13" s="46">
        <f>Wertetabelle!E45</f>
        <v>250000000</v>
      </c>
      <c r="F13" s="46">
        <f>Wertetabelle!F45</f>
        <v>250000000</v>
      </c>
      <c r="G13" s="38"/>
    </row>
    <row r="14" spans="1:7" ht="18" customHeight="1">
      <c r="A14" s="41"/>
      <c r="B14" s="30"/>
      <c r="C14" s="37"/>
      <c r="D14" s="7" t="s">
        <v>39</v>
      </c>
      <c r="E14" s="46">
        <f>E13*Wertetabelle!E46</f>
        <v>200000000</v>
      </c>
      <c r="F14" s="46">
        <f>F13*Wertetabelle!F46</f>
        <v>200000000</v>
      </c>
      <c r="G14" s="38"/>
    </row>
    <row r="15" spans="1:7" ht="40.5" customHeight="1">
      <c r="A15" s="41"/>
      <c r="B15" s="30"/>
      <c r="C15" s="37"/>
      <c r="D15" s="7" t="s">
        <v>40</v>
      </c>
      <c r="E15" s="46">
        <f>E13*Wertetabelle!E47</f>
        <v>49999999.99999999</v>
      </c>
      <c r="F15" s="46">
        <f>F13*Wertetabelle!F47</f>
        <v>49999999.99999999</v>
      </c>
      <c r="G15" s="38"/>
    </row>
    <row r="16" spans="1:7" ht="18" customHeight="1">
      <c r="A16" s="41"/>
      <c r="B16" s="30"/>
      <c r="C16" s="37"/>
      <c r="D16" s="6" t="s">
        <v>41</v>
      </c>
      <c r="E16" s="46">
        <f>Wertetabelle!E48</f>
        <v>165983606</v>
      </c>
      <c r="F16" s="46">
        <f>Wertetabelle!F48</f>
        <v>234000000</v>
      </c>
      <c r="G16" s="38"/>
    </row>
    <row r="17" spans="1:7" ht="81" customHeight="1">
      <c r="A17" s="41"/>
      <c r="B17" s="30"/>
      <c r="C17" s="37"/>
      <c r="D17" s="7" t="s">
        <v>42</v>
      </c>
      <c r="E17" s="46">
        <f>E16*Wertetabelle!E49</f>
        <v>159344261.76</v>
      </c>
      <c r="F17" s="46">
        <f>F16*Wertetabelle!F49</f>
        <v>210600000</v>
      </c>
      <c r="G17" s="38"/>
    </row>
    <row r="18" spans="1:7" ht="56.25" customHeight="1">
      <c r="A18" s="41"/>
      <c r="B18" s="30"/>
      <c r="C18" s="37"/>
      <c r="D18" s="7" t="s">
        <v>43</v>
      </c>
      <c r="E18" s="46">
        <f>E16*Wertetabelle!E50</f>
        <v>6639344.240000006</v>
      </c>
      <c r="F18" s="46">
        <f>F16*Wertetabelle!F50</f>
        <v>23399999.999999996</v>
      </c>
      <c r="G18" s="38"/>
    </row>
    <row r="19" spans="1:7" ht="18" customHeight="1">
      <c r="A19" s="41"/>
      <c r="B19" s="30"/>
      <c r="C19" s="37"/>
      <c r="D19" s="74" t="s">
        <v>44</v>
      </c>
      <c r="E19" s="75">
        <f>Wertetabelle!E51</f>
        <v>198770491</v>
      </c>
      <c r="F19" s="75">
        <f>Wertetabelle!F51</f>
        <v>172000000</v>
      </c>
      <c r="G19" s="36"/>
    </row>
    <row r="20" spans="1:7" ht="15" customHeight="1">
      <c r="A20" s="41"/>
      <c r="B20" s="30"/>
      <c r="C20" s="37"/>
      <c r="D20" s="6" t="s">
        <v>45</v>
      </c>
      <c r="E20" s="46">
        <f>Wertetabelle!E52</f>
        <v>176229508</v>
      </c>
      <c r="F20" s="46">
        <f>Wertetabelle!F52</f>
        <v>200000000</v>
      </c>
      <c r="G20" s="38"/>
    </row>
    <row r="21" spans="1:7" ht="15" customHeight="1">
      <c r="A21" s="41"/>
      <c r="B21" s="30"/>
      <c r="C21" s="37"/>
      <c r="D21" s="6" t="s">
        <v>46</v>
      </c>
      <c r="E21" s="46">
        <f>E20*Wertetabelle!E53</f>
        <v>21147540.96</v>
      </c>
      <c r="F21" s="46">
        <f>F20*Wertetabelle!F53</f>
        <v>120000000</v>
      </c>
      <c r="G21" s="38"/>
    </row>
    <row r="22" spans="1:7" ht="15" customHeight="1">
      <c r="A22" s="41"/>
      <c r="B22" s="30"/>
      <c r="C22" s="37"/>
      <c r="D22" s="6" t="s">
        <v>47</v>
      </c>
      <c r="E22" s="46">
        <f>Wertetabelle!E54</f>
        <v>127049180</v>
      </c>
      <c r="F22" s="46">
        <f>Wertetabelle!F54</f>
        <v>25000000</v>
      </c>
      <c r="G22" s="38"/>
    </row>
    <row r="23" spans="1:7" ht="15" customHeight="1">
      <c r="A23" s="41"/>
      <c r="B23" s="30"/>
      <c r="C23" s="37"/>
      <c r="D23" s="6" t="s">
        <v>46</v>
      </c>
      <c r="E23" s="46">
        <f>E22*Wertetabelle!E55</f>
        <v>8893442.600000001</v>
      </c>
      <c r="F23" s="46">
        <f>F22*Wertetabelle!F55</f>
        <v>0</v>
      </c>
      <c r="G23" s="38"/>
    </row>
    <row r="24" spans="1:7" ht="15" customHeight="1">
      <c r="A24" s="41"/>
      <c r="B24" s="30"/>
      <c r="C24" s="37"/>
      <c r="D24" s="6" t="s">
        <v>48</v>
      </c>
      <c r="E24" s="46">
        <f>Wertetabelle!E56</f>
        <v>69672131</v>
      </c>
      <c r="F24" s="46">
        <f>Wertetabelle!F56</f>
        <v>25000000</v>
      </c>
      <c r="G24" s="38"/>
    </row>
    <row r="25" spans="1:7" ht="15" customHeight="1">
      <c r="A25" s="41"/>
      <c r="B25" s="30"/>
      <c r="C25" s="37"/>
      <c r="D25" s="6" t="s">
        <v>46</v>
      </c>
      <c r="E25" s="46">
        <f>E24*Wertetabelle!E57</f>
        <v>10450819.65</v>
      </c>
      <c r="F25" s="46">
        <f>F24*Wertetabelle!F57</f>
        <v>0</v>
      </c>
      <c r="G25" s="38"/>
    </row>
    <row r="26" spans="1:7" ht="15" customHeight="1">
      <c r="A26" s="41"/>
      <c r="B26" s="30"/>
      <c r="C26" s="37"/>
      <c r="D26" s="6" t="s">
        <v>49</v>
      </c>
      <c r="E26" s="46">
        <f>Wertetabelle!E58</f>
        <v>104508196</v>
      </c>
      <c r="F26" s="46">
        <f>Wertetabelle!F58</f>
        <v>0</v>
      </c>
      <c r="G26" s="38"/>
    </row>
    <row r="27" spans="1:7" ht="15" customHeight="1">
      <c r="A27" s="41"/>
      <c r="B27" s="30"/>
      <c r="C27" s="37"/>
      <c r="D27" s="6" t="s">
        <v>50</v>
      </c>
      <c r="E27" s="46">
        <f>Wertetabelle!E59</f>
        <v>90163934</v>
      </c>
      <c r="F27" s="46">
        <f>Wertetabelle!F59</f>
        <v>0</v>
      </c>
      <c r="G27" s="38"/>
    </row>
    <row r="28" spans="1:7" ht="15" customHeight="1">
      <c r="A28" s="41"/>
      <c r="B28" s="30"/>
      <c r="C28" s="37"/>
      <c r="D28" s="6" t="s">
        <v>51</v>
      </c>
      <c r="E28" s="46">
        <f>E27*Wertetabelle!E60</f>
        <v>0</v>
      </c>
      <c r="F28" s="46">
        <f>F27*Wertetabelle!F60</f>
        <v>0</v>
      </c>
      <c r="G28" s="38"/>
    </row>
    <row r="29" spans="1:7" ht="29.25" customHeight="1">
      <c r="A29" s="41"/>
      <c r="B29" s="30"/>
      <c r="C29" s="37"/>
      <c r="D29" s="74" t="s">
        <v>52</v>
      </c>
      <c r="E29" s="75">
        <f>Wertetabelle!E61</f>
        <v>530737705</v>
      </c>
      <c r="F29" s="75">
        <f>Wertetabelle!F61</f>
        <v>-56000000</v>
      </c>
      <c r="G29" s="36"/>
    </row>
    <row r="30" spans="1:7" ht="18" customHeight="1">
      <c r="A30" s="41"/>
      <c r="B30" s="30"/>
      <c r="C30" s="37"/>
      <c r="D30" s="6" t="s">
        <v>53</v>
      </c>
      <c r="E30" s="46">
        <f>Wertetabelle!E62</f>
        <v>155737704</v>
      </c>
      <c r="F30" s="46">
        <f>Wertetabelle!F62</f>
        <v>220000000</v>
      </c>
      <c r="G30" s="38"/>
    </row>
    <row r="31" spans="1:7" ht="18" customHeight="1">
      <c r="A31" s="41"/>
      <c r="B31" s="30"/>
      <c r="C31" s="37"/>
      <c r="D31" s="6" t="s">
        <v>54</v>
      </c>
      <c r="E31" s="46">
        <f>Wertetabelle!E63</f>
        <v>170081967</v>
      </c>
      <c r="F31" s="46">
        <f>Wertetabelle!F63</f>
        <v>0</v>
      </c>
      <c r="G31" s="38"/>
    </row>
    <row r="32" spans="1:7" ht="18" customHeight="1">
      <c r="A32" s="41"/>
      <c r="B32" s="30"/>
      <c r="C32" s="37"/>
      <c r="D32" s="74" t="s">
        <v>55</v>
      </c>
      <c r="E32" s="75">
        <f>Wertetabelle!E64</f>
        <v>-14344263</v>
      </c>
      <c r="F32" s="75">
        <f>Wertetabelle!F64</f>
        <v>220000000</v>
      </c>
      <c r="G32" s="36"/>
    </row>
    <row r="33" spans="1:7" ht="18" customHeight="1">
      <c r="A33" s="41"/>
      <c r="B33" s="30"/>
      <c r="C33" s="37"/>
      <c r="D33" s="6" t="s">
        <v>56</v>
      </c>
      <c r="E33" s="46">
        <f>Wertetabelle!E65</f>
        <v>127049180</v>
      </c>
      <c r="F33" s="46">
        <f>Wertetabelle!F65</f>
        <v>110000000</v>
      </c>
      <c r="G33" s="38"/>
    </row>
    <row r="34" spans="1:7" ht="18" customHeight="1">
      <c r="A34" s="41"/>
      <c r="B34" s="30"/>
      <c r="C34" s="37"/>
      <c r="D34" s="6" t="s">
        <v>57</v>
      </c>
      <c r="E34" s="46">
        <f>Wertetabelle!E66</f>
        <v>112704918</v>
      </c>
      <c r="F34" s="46">
        <f>Wertetabelle!F66</f>
        <v>10000000</v>
      </c>
      <c r="G34" s="38"/>
    </row>
    <row r="35" spans="1:7" ht="17.25" customHeight="1">
      <c r="A35" s="41"/>
      <c r="B35" s="30"/>
      <c r="C35" s="37"/>
      <c r="D35" s="106" t="s">
        <v>58</v>
      </c>
      <c r="E35" s="104">
        <f>Wertetabelle!E67</f>
        <v>276639344</v>
      </c>
      <c r="F35" s="104">
        <f>Wertetabelle!F67</f>
        <v>44000000</v>
      </c>
      <c r="G35" s="38"/>
    </row>
    <row r="36" spans="1:7" ht="18" customHeight="1" thickBot="1">
      <c r="A36" s="41"/>
      <c r="B36" s="32"/>
      <c r="C36" s="39"/>
      <c r="D36" s="39"/>
      <c r="E36" s="39"/>
      <c r="F36" s="39"/>
      <c r="G36" s="40"/>
    </row>
    <row r="37" spans="1:8" ht="8.25" customHeight="1">
      <c r="A37" s="41"/>
      <c r="B37" s="41"/>
      <c r="C37" s="41"/>
      <c r="D37" s="41"/>
      <c r="E37" s="41"/>
      <c r="F37" s="41"/>
      <c r="G37" s="41"/>
      <c r="H37" s="41"/>
    </row>
    <row r="38" spans="1:8" ht="18" customHeight="1">
      <c r="A38" s="41"/>
      <c r="B38" s="88" t="s">
        <v>64</v>
      </c>
      <c r="C38" s="41"/>
      <c r="D38" s="41"/>
      <c r="E38" s="41"/>
      <c r="F38" s="41"/>
      <c r="G38" s="41"/>
      <c r="H38" s="41"/>
    </row>
    <row r="39" spans="1:8" ht="18" customHeight="1">
      <c r="A39" s="41"/>
      <c r="B39" s="88" t="s">
        <v>66</v>
      </c>
      <c r="C39" s="41"/>
      <c r="D39" s="41"/>
      <c r="E39" s="41"/>
      <c r="F39" s="41"/>
      <c r="G39" s="41"/>
      <c r="H39" s="41"/>
    </row>
    <row r="40" spans="1:8" ht="23.25" customHeight="1">
      <c r="A40" s="41"/>
      <c r="B40" s="88" t="s">
        <v>65</v>
      </c>
      <c r="C40" s="41"/>
      <c r="D40" s="41"/>
      <c r="E40" s="41"/>
      <c r="F40" s="41"/>
      <c r="G40" s="41"/>
      <c r="H40" s="41"/>
    </row>
    <row r="41" spans="1:8" ht="18" customHeight="1">
      <c r="A41" s="41"/>
      <c r="B41" s="41"/>
      <c r="C41" s="41"/>
      <c r="D41" s="41"/>
      <c r="E41" s="41"/>
      <c r="F41" s="41"/>
      <c r="G41" s="41"/>
      <c r="H41" s="41"/>
    </row>
    <row r="42" spans="1:8" ht="18" customHeight="1">
      <c r="A42" s="41"/>
      <c r="B42" s="41"/>
      <c r="C42" s="41"/>
      <c r="D42" s="41"/>
      <c r="E42" s="41"/>
      <c r="F42" s="41"/>
      <c r="G42" s="41"/>
      <c r="H42" s="41"/>
    </row>
    <row r="43" spans="1:8" ht="18" customHeight="1">
      <c r="A43" s="41"/>
      <c r="B43" s="41"/>
      <c r="C43" s="41"/>
      <c r="D43" s="41"/>
      <c r="E43" s="41"/>
      <c r="F43" s="41"/>
      <c r="G43" s="41"/>
      <c r="H43" s="4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hyperlinks>
    <hyperlink ref="B38" r:id="rId1" display="Moritz@regnier.de"/>
    <hyperlink ref="B40" r:id="rId2" display="http://fhdw.regnier.de"/>
    <hyperlink ref="B39" r:id="rId3" display="http://moritz.regnier.d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4"/>
  <headerFooter alignWithMargins="0">
    <oddFooter>&amp;L&amp;8&amp;F &amp;A
Moritz Regnier&amp;R&amp;8&amp;D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B3:G37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27" customWidth="1"/>
    <col min="2" max="2" width="5.140625" style="27" customWidth="1"/>
    <col min="3" max="3" width="3.140625" style="12" bestFit="1" customWidth="1"/>
    <col min="4" max="4" width="37.7109375" style="12" bestFit="1" customWidth="1"/>
    <col min="5" max="6" width="16.28125" style="12" bestFit="1" customWidth="1"/>
    <col min="7" max="7" width="4.421875" style="12" customWidth="1"/>
    <col min="8" max="8" width="5.8515625" style="12" customWidth="1"/>
    <col min="9" max="16384" width="14.28125" style="12" customWidth="1"/>
  </cols>
  <sheetData>
    <row r="1" ht="9.75" customHeight="1"/>
    <row r="2" ht="9.75" customHeight="1" thickBot="1"/>
    <row r="3" spans="2:4" ht="18" customHeight="1" thickBot="1">
      <c r="B3" s="85" t="s">
        <v>61</v>
      </c>
      <c r="C3" s="86"/>
      <c r="D3" s="87"/>
    </row>
    <row r="4" spans="2:7" ht="18" customHeight="1">
      <c r="B4" s="28"/>
      <c r="C4" s="1"/>
      <c r="D4" s="1"/>
      <c r="E4" s="1"/>
      <c r="F4" s="1"/>
      <c r="G4" s="2"/>
    </row>
    <row r="5" spans="2:7" ht="18" customHeight="1">
      <c r="B5" s="29"/>
      <c r="C5" s="21" t="s">
        <v>17</v>
      </c>
      <c r="D5" s="15"/>
      <c r="E5" s="20" t="s">
        <v>18</v>
      </c>
      <c r="F5" s="19" t="s">
        <v>19</v>
      </c>
      <c r="G5" s="16"/>
    </row>
    <row r="6" spans="2:7" ht="18" customHeight="1">
      <c r="B6" s="30"/>
      <c r="C6" s="4" t="s">
        <v>0</v>
      </c>
      <c r="D6" s="6" t="s">
        <v>1</v>
      </c>
      <c r="E6" s="42">
        <f>Wertetabelle!E6</f>
        <v>313524590</v>
      </c>
      <c r="F6" s="43">
        <f>Wertetabelle!F6</f>
        <v>300000000</v>
      </c>
      <c r="G6" s="5"/>
    </row>
    <row r="7" spans="2:7" ht="18" customHeight="1">
      <c r="B7" s="30"/>
      <c r="C7" s="4" t="s">
        <v>2</v>
      </c>
      <c r="D7" s="7" t="s">
        <v>3</v>
      </c>
      <c r="E7" s="44">
        <f>E6*Wertetabelle!E7</f>
        <v>31352459</v>
      </c>
      <c r="F7" s="45">
        <f>F6*Wertetabelle!F7</f>
        <v>15000000</v>
      </c>
      <c r="G7" s="5"/>
    </row>
    <row r="8" spans="2:7" ht="18" customHeight="1">
      <c r="B8" s="30"/>
      <c r="C8" s="4" t="s">
        <v>4</v>
      </c>
      <c r="D8" s="7" t="s">
        <v>5</v>
      </c>
      <c r="E8" s="44">
        <f>E6*Wertetabelle!E8</f>
        <v>188114754</v>
      </c>
      <c r="F8" s="45">
        <f>F6*Wertetabelle!F8</f>
        <v>165000000</v>
      </c>
      <c r="G8" s="5"/>
    </row>
    <row r="9" spans="2:7" ht="18" customHeight="1">
      <c r="B9" s="30"/>
      <c r="C9" s="4" t="s">
        <v>6</v>
      </c>
      <c r="D9" s="7" t="s">
        <v>7</v>
      </c>
      <c r="E9" s="44">
        <f>E6*Wertetabelle!E9</f>
        <v>94057377</v>
      </c>
      <c r="F9" s="45">
        <f>F6*Wertetabelle!F9</f>
        <v>120000000</v>
      </c>
      <c r="G9" s="5"/>
    </row>
    <row r="10" spans="2:7" ht="18" customHeight="1">
      <c r="B10" s="30"/>
      <c r="C10" s="4" t="s">
        <v>8</v>
      </c>
      <c r="D10" s="6" t="s">
        <v>9</v>
      </c>
      <c r="E10" s="42">
        <f>Wertetabelle!E10</f>
        <v>377049180</v>
      </c>
      <c r="F10" s="43">
        <f>Wertetabelle!F10</f>
        <v>370000000</v>
      </c>
      <c r="G10" s="5"/>
    </row>
    <row r="11" spans="2:7" ht="18" customHeight="1">
      <c r="B11" s="30"/>
      <c r="C11" s="4" t="s">
        <v>2</v>
      </c>
      <c r="D11" s="7" t="s">
        <v>10</v>
      </c>
      <c r="E11" s="44">
        <f>E10*Wertetabelle!E11</f>
        <v>188524590</v>
      </c>
      <c r="F11" s="45">
        <f>F10*Wertetabelle!F11</f>
        <v>185000000</v>
      </c>
      <c r="G11" s="5"/>
    </row>
    <row r="12" spans="2:7" ht="30" customHeight="1">
      <c r="B12" s="30"/>
      <c r="C12" s="4" t="s">
        <v>4</v>
      </c>
      <c r="D12" s="7" t="s">
        <v>11</v>
      </c>
      <c r="E12" s="44">
        <f>E10*Wertetabelle!E12</f>
        <v>113114754</v>
      </c>
      <c r="F12" s="45">
        <f>F10*Wertetabelle!F12</f>
        <v>111000000</v>
      </c>
      <c r="G12" s="5"/>
    </row>
    <row r="13" spans="2:7" ht="18" customHeight="1">
      <c r="B13" s="30"/>
      <c r="C13" s="4" t="s">
        <v>6</v>
      </c>
      <c r="D13" s="7" t="s">
        <v>12</v>
      </c>
      <c r="E13" s="44">
        <f>E10*Wertetabelle!E13</f>
        <v>37704918</v>
      </c>
      <c r="F13" s="45">
        <f>F10*Wertetabelle!F13</f>
        <v>37000000</v>
      </c>
      <c r="G13" s="5"/>
    </row>
    <row r="14" spans="2:7" ht="40.5" customHeight="1">
      <c r="B14" s="30"/>
      <c r="C14" s="4" t="s">
        <v>13</v>
      </c>
      <c r="D14" s="7" t="s">
        <v>14</v>
      </c>
      <c r="E14" s="44">
        <f>E10*Wertetabelle!E14</f>
        <v>37704918</v>
      </c>
      <c r="F14" s="45">
        <f>F10*Wertetabelle!F14</f>
        <v>37000000</v>
      </c>
      <c r="G14" s="5"/>
    </row>
    <row r="15" spans="2:7" ht="18" customHeight="1">
      <c r="B15" s="30"/>
      <c r="C15" s="4" t="s">
        <v>15</v>
      </c>
      <c r="D15" s="6" t="s">
        <v>16</v>
      </c>
      <c r="E15" s="42">
        <f>Wertetabelle!E15</f>
        <v>65573767</v>
      </c>
      <c r="F15" s="43">
        <f>Wertetabelle!F15</f>
        <v>65500000</v>
      </c>
      <c r="G15" s="5"/>
    </row>
    <row r="16" spans="2:7" ht="18" customHeight="1" thickBot="1">
      <c r="B16" s="31"/>
      <c r="C16" s="17"/>
      <c r="D16" s="91" t="s">
        <v>72</v>
      </c>
      <c r="E16" s="55">
        <f>Wertetabelle!E16</f>
        <v>756147537</v>
      </c>
      <c r="F16" s="55">
        <f>Wertetabelle!F16</f>
        <v>735500000</v>
      </c>
      <c r="G16" s="18"/>
    </row>
    <row r="17" spans="2:7" ht="18" customHeight="1" thickTop="1">
      <c r="B17" s="30"/>
      <c r="C17" s="4"/>
      <c r="D17" s="4"/>
      <c r="E17" s="4"/>
      <c r="F17" s="4"/>
      <c r="G17" s="5"/>
    </row>
    <row r="18" spans="2:7" ht="18" customHeight="1">
      <c r="B18" s="29"/>
      <c r="C18" s="21" t="s">
        <v>20</v>
      </c>
      <c r="D18" s="15"/>
      <c r="E18" s="20" t="s">
        <v>18</v>
      </c>
      <c r="F18" s="19" t="s">
        <v>19</v>
      </c>
      <c r="G18" s="16"/>
    </row>
    <row r="19" spans="2:7" ht="18" customHeight="1">
      <c r="B19" s="30"/>
      <c r="C19" s="6" t="s">
        <v>0</v>
      </c>
      <c r="D19" s="6" t="s">
        <v>21</v>
      </c>
      <c r="E19" s="42">
        <f>Wertetabelle!E19</f>
        <v>614754096</v>
      </c>
      <c r="F19" s="43">
        <f>Wertetabelle!F19</f>
        <v>600000000</v>
      </c>
      <c r="G19" s="5"/>
    </row>
    <row r="20" spans="2:7" ht="18" customHeight="1">
      <c r="B20" s="30"/>
      <c r="C20" s="6" t="s">
        <v>2</v>
      </c>
      <c r="D20" s="7" t="s">
        <v>22</v>
      </c>
      <c r="E20" s="44">
        <f>Wertetabelle!E20</f>
        <v>84016393</v>
      </c>
      <c r="F20" s="45">
        <f>Wertetabelle!F20</f>
        <v>80000000</v>
      </c>
      <c r="G20" s="5"/>
    </row>
    <row r="21" spans="2:7" ht="18" customHeight="1">
      <c r="B21" s="30"/>
      <c r="C21" s="6" t="s">
        <v>4</v>
      </c>
      <c r="D21" s="7" t="s">
        <v>23</v>
      </c>
      <c r="E21" s="44">
        <f>Wertetabelle!E21</f>
        <v>88114754</v>
      </c>
      <c r="F21" s="45">
        <f>Wertetabelle!F21</f>
        <v>80000000</v>
      </c>
      <c r="G21" s="5"/>
    </row>
    <row r="22" spans="2:7" ht="18" customHeight="1">
      <c r="B22" s="30"/>
      <c r="C22" s="6" t="s">
        <v>6</v>
      </c>
      <c r="D22" s="7" t="s">
        <v>24</v>
      </c>
      <c r="E22" s="44">
        <f>Wertetabelle!E22</f>
        <v>98360655</v>
      </c>
      <c r="F22" s="45">
        <f>Wertetabelle!F22</f>
        <v>80000000</v>
      </c>
      <c r="G22" s="5"/>
    </row>
    <row r="23" spans="2:7" ht="18" customHeight="1">
      <c r="B23" s="30"/>
      <c r="C23" s="6" t="s">
        <v>13</v>
      </c>
      <c r="D23" s="7" t="s">
        <v>25</v>
      </c>
      <c r="E23" s="44">
        <f>Wertetabelle!E23</f>
        <v>67622950</v>
      </c>
      <c r="F23" s="45">
        <f>Wertetabelle!F23</f>
        <v>60000000</v>
      </c>
      <c r="G23" s="5"/>
    </row>
    <row r="24" spans="2:7" ht="18" customHeight="1">
      <c r="B24" s="30"/>
      <c r="C24" s="6" t="s">
        <v>26</v>
      </c>
      <c r="D24" s="7" t="s">
        <v>27</v>
      </c>
      <c r="E24" s="44">
        <f>Wertetabelle!E24</f>
        <v>276639344</v>
      </c>
      <c r="F24" s="45">
        <f>Wertetabelle!F24</f>
        <v>44000000</v>
      </c>
      <c r="G24" s="5"/>
    </row>
    <row r="25" spans="2:7" ht="18" customHeight="1">
      <c r="B25" s="30"/>
      <c r="C25" s="6" t="s">
        <v>8</v>
      </c>
      <c r="D25" s="6" t="s">
        <v>28</v>
      </c>
      <c r="E25" s="42">
        <f>Wertetabelle!E25</f>
        <v>55327868</v>
      </c>
      <c r="F25" s="43">
        <f>Wertetabelle!F25</f>
        <v>55000000</v>
      </c>
      <c r="G25" s="5"/>
    </row>
    <row r="26" spans="2:7" ht="18" customHeight="1">
      <c r="B26" s="30"/>
      <c r="C26" s="6" t="s">
        <v>15</v>
      </c>
      <c r="D26" s="6" t="s">
        <v>29</v>
      </c>
      <c r="E26" s="42">
        <f>Wertetabelle!E26</f>
        <v>75819672</v>
      </c>
      <c r="F26" s="43">
        <f>Wertetabelle!F26</f>
        <v>60000000</v>
      </c>
      <c r="G26" s="5"/>
    </row>
    <row r="27" spans="2:7" ht="12.75">
      <c r="B27" s="51"/>
      <c r="C27" s="6" t="s">
        <v>129</v>
      </c>
      <c r="D27" s="130" t="s">
        <v>138</v>
      </c>
      <c r="E27" s="44">
        <f>Wertetabelle!E26*Wertetabelle!E27</f>
        <v>7581967.2</v>
      </c>
      <c r="F27" s="45">
        <f>Wertetabelle!F26*Wertetabelle!F27</f>
        <v>6000000</v>
      </c>
      <c r="G27" s="5"/>
    </row>
    <row r="28" spans="2:7" ht="25.5">
      <c r="B28" s="51"/>
      <c r="C28" s="6" t="s">
        <v>130</v>
      </c>
      <c r="D28" s="7" t="s">
        <v>134</v>
      </c>
      <c r="E28" s="44">
        <f>Wertetabelle!E26*Wertetabelle!E28</f>
        <v>18954918</v>
      </c>
      <c r="F28" s="45">
        <f>Wertetabelle!F26*Wertetabelle!F28</f>
        <v>15000000</v>
      </c>
      <c r="G28" s="5"/>
    </row>
    <row r="29" spans="2:7" ht="25.5">
      <c r="B29" s="51"/>
      <c r="C29" s="6" t="s">
        <v>131</v>
      </c>
      <c r="D29" s="7" t="s">
        <v>135</v>
      </c>
      <c r="E29" s="44">
        <f>Wertetabelle!E26*Wertetabelle!E29</f>
        <v>37909836</v>
      </c>
      <c r="F29" s="45">
        <f>Wertetabelle!F26*Wertetabelle!F29</f>
        <v>30000000</v>
      </c>
      <c r="G29" s="5"/>
    </row>
    <row r="30" spans="2:7" ht="38.25">
      <c r="B30" s="51"/>
      <c r="C30" s="6" t="s">
        <v>132</v>
      </c>
      <c r="D30" s="7" t="s">
        <v>137</v>
      </c>
      <c r="E30" s="44">
        <f>Wertetabelle!E26*Wertetabelle!E30</f>
        <v>7581967.2</v>
      </c>
      <c r="F30" s="45">
        <f>Wertetabelle!F26*Wertetabelle!F30</f>
        <v>6000000</v>
      </c>
      <c r="G30" s="5"/>
    </row>
    <row r="31" spans="2:7" ht="18" customHeight="1">
      <c r="B31" s="51"/>
      <c r="C31" s="6" t="s">
        <v>133</v>
      </c>
      <c r="D31" s="7" t="s">
        <v>136</v>
      </c>
      <c r="E31" s="44">
        <f>Wertetabelle!E26*Wertetabelle!E31</f>
        <v>3790983.6</v>
      </c>
      <c r="F31" s="45">
        <f>Wertetabelle!F26*Wertetabelle!F31</f>
        <v>3000000</v>
      </c>
      <c r="G31" s="5"/>
    </row>
    <row r="32" spans="2:7" ht="18" customHeight="1">
      <c r="B32" s="30"/>
      <c r="C32" s="6" t="s">
        <v>30</v>
      </c>
      <c r="D32" s="6" t="s">
        <v>16</v>
      </c>
      <c r="E32" s="42">
        <f>Wertetabelle!E32</f>
        <v>10245901</v>
      </c>
      <c r="F32" s="43">
        <f>Wertetabelle!F32</f>
        <v>20500000</v>
      </c>
      <c r="G32" s="5"/>
    </row>
    <row r="33" spans="2:7" ht="18" customHeight="1" thickBot="1">
      <c r="B33" s="32"/>
      <c r="C33" s="9"/>
      <c r="D33" s="92" t="s">
        <v>72</v>
      </c>
      <c r="E33" s="110">
        <f>Wertetabelle!E33</f>
        <v>756147537</v>
      </c>
      <c r="F33" s="111">
        <f>Wertetabelle!F33</f>
        <v>735500000</v>
      </c>
      <c r="G33" s="10"/>
    </row>
    <row r="34" ht="18" customHeight="1"/>
    <row r="35" ht="18" customHeight="1">
      <c r="B35" s="76" t="s">
        <v>64</v>
      </c>
    </row>
    <row r="36" ht="18" customHeight="1">
      <c r="B36" s="76" t="s">
        <v>66</v>
      </c>
    </row>
    <row r="37" ht="24" customHeight="1">
      <c r="B37" s="76" t="s">
        <v>65</v>
      </c>
    </row>
    <row r="38" ht="18" customHeight="1"/>
  </sheetData>
  <hyperlinks>
    <hyperlink ref="B35" r:id="rId1" display="Moritz@regnier.de"/>
    <hyperlink ref="B37" r:id="rId2" display="http://fhdw.regnier.de"/>
    <hyperlink ref="B36" r:id="rId3" display="http://moritz.regnier.d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4"/>
  <headerFooter alignWithMargins="0">
    <oddFooter>&amp;L&amp;8&amp;F &amp;A
Moritz Regnier&amp;R&amp;8&amp;D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3:G36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112" customWidth="1"/>
    <col min="2" max="2" width="5.140625" style="112" customWidth="1"/>
    <col min="3" max="3" width="21.8515625" style="13" bestFit="1" customWidth="1"/>
    <col min="4" max="4" width="40.421875" style="13" customWidth="1"/>
    <col min="5" max="5" width="18.421875" style="13" bestFit="1" customWidth="1"/>
    <col min="6" max="6" width="19.00390625" style="13" bestFit="1" customWidth="1"/>
    <col min="7" max="7" width="4.421875" style="13" customWidth="1"/>
    <col min="8" max="8" width="5.8515625" style="13" customWidth="1"/>
    <col min="9" max="16384" width="14.28125" style="13" customWidth="1"/>
  </cols>
  <sheetData>
    <row r="1" ht="9.75" customHeight="1"/>
    <row r="2" ht="9.75" customHeight="1" thickBot="1"/>
    <row r="3" spans="2:3" ht="18" customHeight="1" thickBot="1">
      <c r="B3" s="143" t="s">
        <v>76</v>
      </c>
      <c r="C3" s="144"/>
    </row>
    <row r="4" spans="2:7" ht="12.75" customHeight="1">
      <c r="B4" s="49"/>
      <c r="C4" s="1"/>
      <c r="D4" s="115"/>
      <c r="E4" s="1"/>
      <c r="F4" s="1"/>
      <c r="G4" s="2"/>
    </row>
    <row r="5" spans="2:7" ht="12.75">
      <c r="B5" s="51"/>
      <c r="C5" s="15"/>
      <c r="D5" s="21"/>
      <c r="E5" s="15" t="s">
        <v>18</v>
      </c>
      <c r="F5" s="15" t="s">
        <v>19</v>
      </c>
      <c r="G5" s="5"/>
    </row>
    <row r="6" spans="2:7" ht="25.5">
      <c r="B6" s="51"/>
      <c r="C6" s="113" t="s">
        <v>77</v>
      </c>
      <c r="D6" s="118" t="s">
        <v>78</v>
      </c>
      <c r="E6" s="122">
        <f>SUM(Wertetabelle!E67,Wertetabelle!E65)/Wertetabelle!E19</f>
        <v>0.6566666682282667</v>
      </c>
      <c r="F6" s="123">
        <f>SUM(Wertetabelle!F67,Wertetabelle!F65)/Wertetabelle!F19</f>
        <v>0.25666666666666665</v>
      </c>
      <c r="G6" s="5"/>
    </row>
    <row r="7" spans="2:7" ht="38.25">
      <c r="B7" s="51"/>
      <c r="C7" s="113" t="s">
        <v>79</v>
      </c>
      <c r="D7" s="118" t="s">
        <v>80</v>
      </c>
      <c r="E7" s="122">
        <f>SUM(Wertetabelle!E67,Wertetabelle!E59,Wertetabelle!E65)/Wertetabelle!E33</f>
        <v>0.6531165332619473</v>
      </c>
      <c r="F7" s="123">
        <f>SUM(Wertetabelle!F67,Wertetabelle!F59,Wertetabelle!F65)/Wertetabelle!F33</f>
        <v>0.20938137321549966</v>
      </c>
      <c r="G7" s="5"/>
    </row>
    <row r="8" spans="2:7" ht="29.25" customHeight="1">
      <c r="B8" s="51"/>
      <c r="C8" s="113" t="s">
        <v>120</v>
      </c>
      <c r="D8" s="119" t="s">
        <v>123</v>
      </c>
      <c r="E8" s="114">
        <f>Wertetabelle!E38+Wertetabelle!E39+Wertetabelle!E40+Wertetabelle!E41-Wertetabelle!E42-Wertetabelle!E45-Wertetabelle!E48-Wertetabelle!E51</f>
        <v>352459016</v>
      </c>
      <c r="F8" s="45">
        <f>Wertetabelle!F38+Wertetabelle!F39+Wertetabelle!F40+Wertetabelle!F41-Wertetabelle!F42-Wertetabelle!F45-Wertetabelle!F48-Wertetabelle!F51</f>
        <v>-306000000</v>
      </c>
      <c r="G8" s="5"/>
    </row>
    <row r="9" spans="2:7" ht="18" customHeight="1">
      <c r="B9" s="51"/>
      <c r="C9" s="113" t="s">
        <v>121</v>
      </c>
      <c r="D9" s="119" t="s">
        <v>124</v>
      </c>
      <c r="E9" s="114">
        <f>SUM(Wertetabelle!E38:E41)</f>
        <v>1129098358</v>
      </c>
      <c r="F9" s="45">
        <f>SUM(Wertetabelle!F38:F41)</f>
        <v>400000000</v>
      </c>
      <c r="G9" s="5"/>
    </row>
    <row r="10" spans="2:7" ht="40.5" customHeight="1">
      <c r="B10" s="51"/>
      <c r="C10" s="113" t="s">
        <v>122</v>
      </c>
      <c r="D10" s="119" t="s">
        <v>125</v>
      </c>
      <c r="E10" s="114">
        <f>Wertetabelle!E33-Wertetabelle!E25</f>
        <v>700819669</v>
      </c>
      <c r="F10" s="45">
        <f>Wertetabelle!F33-Wertetabelle!F25</f>
        <v>680500000</v>
      </c>
      <c r="G10" s="5"/>
    </row>
    <row r="11" spans="2:7" ht="15.75" customHeight="1">
      <c r="B11" s="51"/>
      <c r="C11" s="113" t="s">
        <v>81</v>
      </c>
      <c r="D11" s="118" t="s">
        <v>82</v>
      </c>
      <c r="E11" s="122">
        <f>E12*E13</f>
        <v>0.5025771331074773</v>
      </c>
      <c r="F11" s="123">
        <f>F12*F13</f>
        <v>-0.4437</v>
      </c>
      <c r="G11" s="5"/>
    </row>
    <row r="12" spans="2:7" ht="27.75" customHeight="1">
      <c r="B12" s="51"/>
      <c r="C12" s="113" t="s">
        <v>83</v>
      </c>
      <c r="D12" s="118" t="s">
        <v>84</v>
      </c>
      <c r="E12" s="122">
        <f>E8/E9</f>
        <v>0.31215971000464426</v>
      </c>
      <c r="F12" s="123">
        <f>F8/F9</f>
        <v>-0.765</v>
      </c>
      <c r="G12" s="5"/>
    </row>
    <row r="13" spans="2:7" ht="28.5" customHeight="1">
      <c r="B13" s="51"/>
      <c r="C13" s="116" t="s">
        <v>85</v>
      </c>
      <c r="D13" s="120" t="s">
        <v>86</v>
      </c>
      <c r="E13" s="126">
        <f>ROUNDDOWN(E9/E10,2)</f>
        <v>1.61</v>
      </c>
      <c r="F13" s="129">
        <f>ROUNDDOWN(F9/F10,2)</f>
        <v>0.58</v>
      </c>
      <c r="G13" s="5"/>
    </row>
    <row r="14" spans="2:7" ht="16.5" customHeight="1">
      <c r="B14" s="51"/>
      <c r="C14" s="113" t="s">
        <v>87</v>
      </c>
      <c r="D14" s="118" t="s">
        <v>88</v>
      </c>
      <c r="E14" s="122">
        <f>Wertetabelle!E42/Kennzahlen!E9</f>
        <v>0.14337568011944624</v>
      </c>
      <c r="F14" s="123">
        <f>Wertetabelle!F42/Kennzahlen!F9</f>
        <v>0.125</v>
      </c>
      <c r="G14" s="5"/>
    </row>
    <row r="15" spans="2:7" ht="16.5" customHeight="1">
      <c r="B15" s="51"/>
      <c r="C15" s="113" t="s">
        <v>89</v>
      </c>
      <c r="D15" s="118" t="s">
        <v>90</v>
      </c>
      <c r="E15" s="122">
        <f>Wertetabelle!E45/Kennzahlen!E9</f>
        <v>0.22141560850626973</v>
      </c>
      <c r="F15" s="123">
        <f>Wertetabelle!F45/Kennzahlen!F9</f>
        <v>0.625</v>
      </c>
      <c r="G15" s="5"/>
    </row>
    <row r="16" spans="2:7" ht="16.5" customHeight="1">
      <c r="B16" s="51"/>
      <c r="C16" s="116" t="s">
        <v>91</v>
      </c>
      <c r="D16" s="120" t="s">
        <v>92</v>
      </c>
      <c r="E16" s="124">
        <f>Wertetabelle!E48/Kennzahlen!E9</f>
        <v>0.1470054444982197</v>
      </c>
      <c r="F16" s="125">
        <f>Wertetabelle!F48/Kennzahlen!F9</f>
        <v>0.585</v>
      </c>
      <c r="G16" s="5"/>
    </row>
    <row r="17" spans="2:7" ht="17.25" customHeight="1">
      <c r="B17" s="51"/>
      <c r="C17" s="113" t="s">
        <v>93</v>
      </c>
      <c r="D17" s="118" t="s">
        <v>94</v>
      </c>
      <c r="E17" s="122">
        <f>Wertetabelle!E10*Wertetabelle!E11/Wertetabelle!E38</f>
        <v>0.48167539301795453</v>
      </c>
      <c r="F17" s="123">
        <f>Wertetabelle!F10*Wertetabelle!F11/Wertetabelle!F38</f>
        <v>0.5285714285714286</v>
      </c>
      <c r="G17" s="5"/>
    </row>
    <row r="18" spans="2:7" ht="38.25">
      <c r="B18" s="51"/>
      <c r="C18" s="113" t="s">
        <v>95</v>
      </c>
      <c r="D18" s="118" t="s">
        <v>96</v>
      </c>
      <c r="E18" s="122">
        <f>Wertetabelle!E6/Wertetabelle!E16</f>
        <v>0.4146341483090753</v>
      </c>
      <c r="F18" s="123">
        <f>Wertetabelle!F6/Wertetabelle!F16</f>
        <v>0.4078857919782461</v>
      </c>
      <c r="G18" s="5"/>
    </row>
    <row r="19" spans="2:7" ht="38.25">
      <c r="B19" s="51"/>
      <c r="C19" s="113" t="s">
        <v>97</v>
      </c>
      <c r="D19" s="118" t="s">
        <v>98</v>
      </c>
      <c r="E19" s="122">
        <f>Wertetabelle!E10/Wertetabelle!E16</f>
        <v>0.4986449886432679</v>
      </c>
      <c r="F19" s="123">
        <f>Wertetabelle!F10/Wertetabelle!F16</f>
        <v>0.5030591434398368</v>
      </c>
      <c r="G19" s="5"/>
    </row>
    <row r="20" spans="2:7" ht="25.5">
      <c r="B20" s="51"/>
      <c r="C20" s="113" t="s">
        <v>99</v>
      </c>
      <c r="D20" s="118" t="s">
        <v>100</v>
      </c>
      <c r="E20" s="127">
        <f>ROUNDUP((SUM(Wertetabelle!E10*Wertetabelle!E11,Wertetabelle!F10*Wertetabelle!F11)/2)*365/Wertetabelle!E38,0)</f>
        <v>175</v>
      </c>
      <c r="F20" s="128">
        <f>ROUNDUP((SUM(Wertetabelle!F10*Wertetabelle!F11,Wertetabelle!G10*Wertetabelle!G11)/2)*365/Wertetabelle!F38,0)</f>
        <v>97</v>
      </c>
      <c r="G20" s="5"/>
    </row>
    <row r="21" spans="2:7" ht="25.5">
      <c r="B21" s="51"/>
      <c r="C21" s="113" t="s">
        <v>101</v>
      </c>
      <c r="D21" s="118" t="s">
        <v>102</v>
      </c>
      <c r="E21" s="127">
        <f>ROUNDUP((SUM(Wertetabelle!E10*Wertetabelle!E12,Wertetabelle!F10*Wertetabelle!F12)/2)*365/Wertetabelle!E38,0)</f>
        <v>105</v>
      </c>
      <c r="F21" s="128">
        <f>ROUNDUP((SUM(Wertetabelle!F10*Wertetabelle!F12,Wertetabelle!G10*Wertetabelle!G12)/2)*365/Wertetabelle!F38,0)</f>
        <v>58</v>
      </c>
      <c r="G21" s="5"/>
    </row>
    <row r="22" spans="2:7" ht="25.5">
      <c r="B22" s="51"/>
      <c r="C22" s="116" t="s">
        <v>103</v>
      </c>
      <c r="D22" s="120" t="s">
        <v>104</v>
      </c>
      <c r="E22" s="126">
        <f>ROUNDUP((Wertetabelle!E26*Wertetabelle!E29+Wertetabelle!F26*Wertetabelle!F29/2)*365/Wertetabelle!E42,0)</f>
        <v>120</v>
      </c>
      <c r="F22" s="129">
        <f>ROUNDUP((Wertetabelle!E26*Wertetabelle!E29+Wertetabelle!F26*Wertetabelle!F29/2)*365/Wertetabelle!F42,0)</f>
        <v>387</v>
      </c>
      <c r="G22" s="5"/>
    </row>
    <row r="23" spans="2:7" ht="25.5">
      <c r="B23" s="51"/>
      <c r="C23" s="113" t="s">
        <v>105</v>
      </c>
      <c r="D23" s="119" t="s">
        <v>126</v>
      </c>
      <c r="E23" s="122">
        <f>Wertetabelle!E19/Wertetabelle!E33</f>
        <v>0.8130081312425144</v>
      </c>
      <c r="F23" s="123">
        <f>Wertetabelle!F19/Wertetabelle!F33</f>
        <v>0.8157715839564922</v>
      </c>
      <c r="G23" s="5"/>
    </row>
    <row r="24" spans="2:7" ht="38.25">
      <c r="B24" s="51"/>
      <c r="C24" s="113" t="s">
        <v>106</v>
      </c>
      <c r="D24" s="118" t="s">
        <v>107</v>
      </c>
      <c r="E24" s="122">
        <f>Wertetabelle!E26/Wertetabelle!E19</f>
        <v>0.1233333335936</v>
      </c>
      <c r="F24" s="123">
        <f>Wertetabelle!F26/Wertetabelle!F19</f>
        <v>0.1</v>
      </c>
      <c r="G24" s="5"/>
    </row>
    <row r="25" spans="2:7" ht="25.5">
      <c r="B25" s="51"/>
      <c r="C25" s="113" t="s">
        <v>108</v>
      </c>
      <c r="D25" s="119" t="s">
        <v>128</v>
      </c>
      <c r="E25" s="122">
        <f>Wertetabelle!E19/(Wertetabelle!E6*Wertetabelle!E8)</f>
        <v>3.2679738453688754</v>
      </c>
      <c r="F25" s="123">
        <f>Wertetabelle!F19/(Wertetabelle!F6*Wertetabelle!F8)</f>
        <v>3.6363636363636362</v>
      </c>
      <c r="G25" s="5"/>
    </row>
    <row r="26" spans="2:7" ht="38.25">
      <c r="B26" s="51"/>
      <c r="C26" s="113" t="s">
        <v>109</v>
      </c>
      <c r="D26" s="119" t="s">
        <v>127</v>
      </c>
      <c r="E26" s="122">
        <f>SUM(Wertetabelle!E19,Wertetabelle!E25:E26)/(Wertetabelle!E6*Wertetabelle!E8)</f>
        <v>3.9651415964959345</v>
      </c>
      <c r="F26" s="123">
        <f>SUM(Wertetabelle!F19,Wertetabelle!F25:F26)/(Wertetabelle!F6*Wertetabelle!F8)</f>
        <v>4.333333333333333</v>
      </c>
      <c r="G26" s="5"/>
    </row>
    <row r="27" spans="2:7" ht="25.5">
      <c r="B27" s="51"/>
      <c r="C27" s="113" t="s">
        <v>110</v>
      </c>
      <c r="D27" s="118" t="s">
        <v>111</v>
      </c>
      <c r="E27" s="114">
        <f>SUM(Wertetabelle!E25,Wertetabelle!E26)-SUM(Wertetabelle!E10*Wertetabelle!E13,Wertetabelle!E10*Wertetabelle!E14)</f>
        <v>55737704</v>
      </c>
      <c r="F27" s="45">
        <f>SUM(Wertetabelle!F25,Wertetabelle!F26)-SUM(Wertetabelle!F10*Wertetabelle!F13,Wertetabelle!F10*Wertetabelle!F14)</f>
        <v>41000000</v>
      </c>
      <c r="G27" s="5"/>
    </row>
    <row r="28" spans="2:7" ht="25.5">
      <c r="B28" s="51"/>
      <c r="C28" s="113" t="s">
        <v>112</v>
      </c>
      <c r="D28" s="118" t="s">
        <v>113</v>
      </c>
      <c r="E28" s="122">
        <f>SUM(Wertetabelle!E10*Wertetabelle!E13,Wertetabelle!E10*Wertetabelle!E14)/SUM(Wertetabelle!E26*Wertetabelle!E29,Wertetabelle!E26*Wertetabelle!E31)</f>
        <v>1.80835380990929</v>
      </c>
      <c r="F28" s="123">
        <f>SUM(Wertetabelle!F10*Wertetabelle!F13,Wertetabelle!F10*Wertetabelle!F14)/SUM(Wertetabelle!F26*Wertetabelle!F29,Wertetabelle!F26*Wertetabelle!F31)</f>
        <v>2.242424242424242</v>
      </c>
      <c r="G28" s="5"/>
    </row>
    <row r="29" spans="2:7" ht="25.5">
      <c r="B29" s="51"/>
      <c r="C29" s="113" t="s">
        <v>114</v>
      </c>
      <c r="D29" s="118" t="s">
        <v>115</v>
      </c>
      <c r="E29" s="122">
        <f>Wertetabelle!E10/SUM(Wertetabelle!E26*Wertetabelle!E29,Wertetabelle!E26*Wertetabelle!E31)</f>
        <v>9.04176904954645</v>
      </c>
      <c r="F29" s="123">
        <f>Wertetabelle!F10/SUM(Wertetabelle!F26*Wertetabelle!F29,Wertetabelle!F26*Wertetabelle!F31)</f>
        <v>11.212121212121213</v>
      </c>
      <c r="G29" s="5"/>
    </row>
    <row r="30" spans="2:7" ht="25.5">
      <c r="B30" s="51"/>
      <c r="C30" s="113" t="s">
        <v>116</v>
      </c>
      <c r="D30" s="118" t="s">
        <v>117</v>
      </c>
      <c r="E30" s="114">
        <f>Wertetabelle!E10-SUM(Wertetabelle!E26*Wertetabelle!E29,Wertetabelle!E26*Wertetabelle!E31,Wertetabelle!E26*Wertetabelle!E30)</f>
        <v>327766393.2</v>
      </c>
      <c r="F30" s="45">
        <f>Wertetabelle!F10-SUM(Wertetabelle!F26*Wertetabelle!F29,Wertetabelle!F26*Wertetabelle!F31,Wertetabelle!F26*Wertetabelle!F30)</f>
        <v>331000000</v>
      </c>
      <c r="G30" s="5"/>
    </row>
    <row r="31" spans="2:7" ht="38.25">
      <c r="B31" s="51"/>
      <c r="C31" s="116" t="s">
        <v>118</v>
      </c>
      <c r="D31" s="120" t="s">
        <v>119</v>
      </c>
      <c r="E31" s="117">
        <f>(Wertetabelle!E25-Wertetabelle!F25)+Wertetabelle!E67+Wertetabelle!E48</f>
        <v>442950818</v>
      </c>
      <c r="F31" s="121">
        <f>(Wertetabelle!F25-Wertetabelle!G25)+Wertetabelle!F67+Wertetabelle!F48</f>
        <v>333000000</v>
      </c>
      <c r="G31" s="5"/>
    </row>
    <row r="32" spans="2:7" ht="18" customHeight="1" thickBot="1">
      <c r="B32" s="53"/>
      <c r="C32" s="9"/>
      <c r="D32" s="92"/>
      <c r="E32" s="64"/>
      <c r="F32" s="64"/>
      <c r="G32" s="10"/>
    </row>
    <row r="33" ht="18" customHeight="1"/>
    <row r="34" ht="18" customHeight="1">
      <c r="B34" s="76" t="s">
        <v>64</v>
      </c>
    </row>
    <row r="35" ht="18" customHeight="1">
      <c r="B35" s="76" t="s">
        <v>66</v>
      </c>
    </row>
    <row r="36" ht="29.25" customHeight="1">
      <c r="B36" s="76" t="s">
        <v>65</v>
      </c>
    </row>
    <row r="37" ht="18" customHeight="1"/>
  </sheetData>
  <mergeCells count="1">
    <mergeCell ref="B3:C3"/>
  </mergeCells>
  <hyperlinks>
    <hyperlink ref="B34" r:id="rId1" display="Moritz@regnier.de"/>
    <hyperlink ref="B36" r:id="rId2" display="http://fhdw.regnier.de"/>
    <hyperlink ref="B35" r:id="rId3" display="http://moritz.regnier.d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6"/>
  <headerFooter alignWithMargins="0">
    <oddFooter>&amp;L&amp;8&amp;F &amp;A
Moritz Regnier&amp;R&amp;8&amp;D</oddFooter>
  </headerFooter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B3:J43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112" customWidth="1"/>
    <col min="2" max="2" width="22.140625" style="112" bestFit="1" customWidth="1"/>
    <col min="3" max="3" width="7.140625" style="112" customWidth="1"/>
    <col min="4" max="4" width="9.57421875" style="13" bestFit="1" customWidth="1"/>
    <col min="5" max="5" width="11.57421875" style="13" bestFit="1" customWidth="1"/>
    <col min="6" max="7" width="10.421875" style="13" bestFit="1" customWidth="1"/>
    <col min="8" max="8" width="5.140625" style="13" customWidth="1"/>
    <col min="9" max="13" width="10.421875" style="13" bestFit="1" customWidth="1"/>
    <col min="14" max="14" width="11.421875" style="13" bestFit="1" customWidth="1"/>
    <col min="15" max="67" width="12.7109375" style="13" customWidth="1"/>
    <col min="68" max="16384" width="14.28125" style="13" customWidth="1"/>
  </cols>
  <sheetData>
    <row r="1" ht="9.75" customHeight="1"/>
    <row r="2" ht="9.75" customHeight="1" thickBot="1"/>
    <row r="3" spans="2:10" ht="27" customHeight="1" thickBot="1">
      <c r="B3" s="153" t="s">
        <v>142</v>
      </c>
      <c r="C3" s="212"/>
      <c r="D3" s="232" t="s">
        <v>190</v>
      </c>
      <c r="E3" s="151"/>
      <c r="F3" s="151"/>
      <c r="G3" s="151"/>
      <c r="H3" s="151"/>
      <c r="I3" s="151"/>
      <c r="J3" s="151"/>
    </row>
    <row r="4" spans="2:7" ht="12.75">
      <c r="B4" s="167"/>
      <c r="C4" s="168"/>
      <c r="D4" s="159" t="s">
        <v>181</v>
      </c>
      <c r="E4" s="159" t="s">
        <v>182</v>
      </c>
      <c r="F4" s="159" t="s">
        <v>183</v>
      </c>
      <c r="G4" s="198" t="s">
        <v>184</v>
      </c>
    </row>
    <row r="5" spans="2:7" ht="12.75">
      <c r="B5" s="154" t="s">
        <v>143</v>
      </c>
      <c r="C5" s="160"/>
      <c r="D5" s="201" t="s">
        <v>162</v>
      </c>
      <c r="E5" s="145">
        <v>100</v>
      </c>
      <c r="F5" s="204"/>
      <c r="G5" s="205"/>
    </row>
    <row r="6" spans="2:7" ht="12.75">
      <c r="B6" s="154" t="s">
        <v>160</v>
      </c>
      <c r="C6" s="160"/>
      <c r="D6" s="145">
        <v>0</v>
      </c>
      <c r="E6" s="204"/>
      <c r="F6" s="204"/>
      <c r="G6" s="205"/>
    </row>
    <row r="7" spans="2:7" ht="12.75">
      <c r="B7" s="154" t="s">
        <v>161</v>
      </c>
      <c r="C7" s="160"/>
      <c r="D7" s="145">
        <v>0</v>
      </c>
      <c r="E7" s="204"/>
      <c r="F7" s="204"/>
      <c r="G7" s="205"/>
    </row>
    <row r="8" spans="2:7" ht="12.75">
      <c r="B8" s="154" t="s">
        <v>144</v>
      </c>
      <c r="C8" s="160"/>
      <c r="D8" s="202" t="s">
        <v>162</v>
      </c>
      <c r="E8" s="113">
        <v>300</v>
      </c>
      <c r="F8" s="207"/>
      <c r="G8" s="208"/>
    </row>
    <row r="9" spans="2:7" ht="12.75">
      <c r="B9" s="154" t="s">
        <v>145</v>
      </c>
      <c r="C9" s="160"/>
      <c r="D9" s="113">
        <v>0</v>
      </c>
      <c r="E9" s="206"/>
      <c r="F9" s="207"/>
      <c r="G9" s="208"/>
    </row>
    <row r="10" spans="2:7" ht="12.75">
      <c r="B10" s="163" t="s">
        <v>146</v>
      </c>
      <c r="C10" s="164"/>
      <c r="D10" s="116">
        <v>0</v>
      </c>
      <c r="E10" s="209"/>
      <c r="F10" s="210"/>
      <c r="G10" s="211"/>
    </row>
    <row r="11" spans="2:7" ht="12.75">
      <c r="B11" s="154" t="s">
        <v>147</v>
      </c>
      <c r="C11" s="160"/>
      <c r="D11" s="170">
        <v>300</v>
      </c>
      <c r="E11" s="113">
        <v>250</v>
      </c>
      <c r="F11" s="152">
        <v>350</v>
      </c>
      <c r="G11" s="199">
        <v>300</v>
      </c>
    </row>
    <row r="12" spans="2:10" ht="12.75">
      <c r="B12" s="155" t="s">
        <v>149</v>
      </c>
      <c r="C12" s="162"/>
      <c r="D12" s="182">
        <v>0.1</v>
      </c>
      <c r="E12" s="183">
        <v>0.8</v>
      </c>
      <c r="F12" s="184">
        <v>0.1</v>
      </c>
      <c r="G12" s="230"/>
      <c r="H12" s="179"/>
      <c r="I12" s="179"/>
      <c r="J12" s="179"/>
    </row>
    <row r="13" spans="2:10" ht="12.75">
      <c r="B13" s="155" t="s">
        <v>179</v>
      </c>
      <c r="C13" s="162"/>
      <c r="D13" s="185">
        <f>1-D12</f>
        <v>0.9</v>
      </c>
      <c r="E13" s="186">
        <f>1-SUM(D12:E12)</f>
        <v>0.09999999999999998</v>
      </c>
      <c r="F13" s="187">
        <f>1-SUM(D12:F12)</f>
        <v>0</v>
      </c>
      <c r="G13" s="230"/>
      <c r="H13" s="179"/>
      <c r="I13" s="179"/>
      <c r="J13" s="179"/>
    </row>
    <row r="14" spans="2:7" ht="12.75">
      <c r="B14" s="165" t="s">
        <v>148</v>
      </c>
      <c r="C14" s="166"/>
      <c r="D14" s="192">
        <v>150</v>
      </c>
      <c r="E14" s="193">
        <v>125</v>
      </c>
      <c r="F14" s="193">
        <v>175</v>
      </c>
      <c r="G14" s="200">
        <v>150</v>
      </c>
    </row>
    <row r="15" spans="2:10" ht="12.75">
      <c r="B15" s="154" t="s">
        <v>150</v>
      </c>
      <c r="C15" s="160"/>
      <c r="D15" s="188">
        <v>0</v>
      </c>
      <c r="E15" s="188">
        <v>0.6</v>
      </c>
      <c r="F15" s="189">
        <v>0.4</v>
      </c>
      <c r="G15" s="230"/>
      <c r="H15" s="180"/>
      <c r="I15" s="180"/>
      <c r="J15" s="180"/>
    </row>
    <row r="16" spans="2:10" ht="12.75">
      <c r="B16" s="163" t="s">
        <v>180</v>
      </c>
      <c r="C16" s="164"/>
      <c r="D16" s="194">
        <f>1-D15</f>
        <v>1</v>
      </c>
      <c r="E16" s="195">
        <f>1-SUM(D15:E15)</f>
        <v>0.4</v>
      </c>
      <c r="F16" s="196">
        <f>1-SUM(D15:F15)</f>
        <v>0</v>
      </c>
      <c r="G16" s="231"/>
      <c r="H16" s="180"/>
      <c r="I16" s="180"/>
      <c r="J16" s="180"/>
    </row>
    <row r="17" spans="2:7" ht="12.75">
      <c r="B17" s="154" t="s">
        <v>151</v>
      </c>
      <c r="C17" s="160"/>
      <c r="D17" s="152">
        <v>500</v>
      </c>
      <c r="E17" s="113">
        <v>500</v>
      </c>
      <c r="F17" s="218"/>
      <c r="G17" s="219"/>
    </row>
    <row r="18" spans="2:7" ht="12.75">
      <c r="B18" s="154" t="s">
        <v>152</v>
      </c>
      <c r="C18" s="160"/>
      <c r="D18" s="113">
        <v>0</v>
      </c>
      <c r="E18" s="206"/>
      <c r="F18" s="207"/>
      <c r="G18" s="208"/>
    </row>
    <row r="19" spans="2:7" ht="12.75">
      <c r="B19" s="154" t="s">
        <v>153</v>
      </c>
      <c r="C19" s="160"/>
      <c r="D19" s="113">
        <v>0</v>
      </c>
      <c r="E19" s="206"/>
      <c r="F19" s="207"/>
      <c r="G19" s="208"/>
    </row>
    <row r="20" spans="2:7" ht="12.75">
      <c r="B20" s="165" t="s">
        <v>185</v>
      </c>
      <c r="C20" s="166"/>
      <c r="D20" s="203" t="s">
        <v>162</v>
      </c>
      <c r="E20" s="191">
        <v>10</v>
      </c>
      <c r="F20" s="220"/>
      <c r="G20" s="221"/>
    </row>
    <row r="21" spans="2:7" ht="12.75">
      <c r="B21" s="154" t="s">
        <v>154</v>
      </c>
      <c r="C21" s="160"/>
      <c r="D21" s="202" t="s">
        <v>162</v>
      </c>
      <c r="E21" s="113">
        <v>35</v>
      </c>
      <c r="F21" s="207"/>
      <c r="G21" s="208"/>
    </row>
    <row r="22" spans="2:7" ht="12.75">
      <c r="B22" s="154" t="s">
        <v>155</v>
      </c>
      <c r="C22" s="160"/>
      <c r="D22" s="113">
        <v>0</v>
      </c>
      <c r="E22" s="206"/>
      <c r="F22" s="207"/>
      <c r="G22" s="208"/>
    </row>
    <row r="23" spans="2:7" ht="12.75">
      <c r="B23" s="154" t="s">
        <v>156</v>
      </c>
      <c r="C23" s="160"/>
      <c r="D23" s="113">
        <v>0</v>
      </c>
      <c r="E23" s="206"/>
      <c r="F23" s="207"/>
      <c r="G23" s="208"/>
    </row>
    <row r="24" spans="2:7" ht="12.75">
      <c r="B24" s="163" t="s">
        <v>157</v>
      </c>
      <c r="C24" s="164"/>
      <c r="D24" s="116">
        <v>0</v>
      </c>
      <c r="E24" s="116">
        <v>0</v>
      </c>
      <c r="F24" s="222"/>
      <c r="G24" s="223"/>
    </row>
    <row r="25" spans="2:7" ht="12.75">
      <c r="B25" s="154" t="s">
        <v>167</v>
      </c>
      <c r="C25" s="160"/>
      <c r="D25" s="202" t="s">
        <v>162</v>
      </c>
      <c r="E25" s="113">
        <v>450</v>
      </c>
      <c r="F25" s="218"/>
      <c r="G25" s="219"/>
    </row>
    <row r="26" spans="2:7" ht="12.75">
      <c r="B26" s="154" t="s">
        <v>168</v>
      </c>
      <c r="C26" s="160"/>
      <c r="D26" s="202" t="s">
        <v>162</v>
      </c>
      <c r="E26" s="113">
        <v>225</v>
      </c>
      <c r="F26" s="218"/>
      <c r="G26" s="219"/>
    </row>
    <row r="27" spans="2:7" ht="12.75">
      <c r="B27" s="154" t="s">
        <v>151</v>
      </c>
      <c r="C27" s="160"/>
      <c r="D27" s="202" t="s">
        <v>162</v>
      </c>
      <c r="E27" s="113">
        <v>500</v>
      </c>
      <c r="F27" s="218"/>
      <c r="G27" s="219"/>
    </row>
    <row r="28" spans="2:7" ht="12.75">
      <c r="B28" s="165" t="s">
        <v>158</v>
      </c>
      <c r="C28" s="166"/>
      <c r="D28" s="203" t="s">
        <v>162</v>
      </c>
      <c r="E28" s="191">
        <v>100</v>
      </c>
      <c r="F28" s="224"/>
      <c r="G28" s="225"/>
    </row>
    <row r="29" spans="2:7" ht="12.75">
      <c r="B29" s="154" t="s">
        <v>159</v>
      </c>
      <c r="C29" s="160"/>
      <c r="D29" s="113">
        <f>0.05*D11</f>
        <v>15</v>
      </c>
      <c r="E29" s="228"/>
      <c r="F29" s="218"/>
      <c r="G29" s="219"/>
    </row>
    <row r="30" spans="2:7" ht="23.25" customHeight="1" thickBot="1">
      <c r="B30" s="157" t="s">
        <v>186</v>
      </c>
      <c r="C30" s="161"/>
      <c r="D30" s="217">
        <v>35</v>
      </c>
      <c r="E30" s="229"/>
      <c r="F30" s="226"/>
      <c r="G30" s="227"/>
    </row>
    <row r="31" spans="2:7" ht="12.75">
      <c r="B31" s="156" t="s">
        <v>164</v>
      </c>
      <c r="C31" s="213"/>
      <c r="D31" s="145"/>
      <c r="E31" s="216" t="s">
        <v>165</v>
      </c>
      <c r="F31" s="112"/>
      <c r="G31" s="112"/>
    </row>
    <row r="32" spans="2:7" ht="25.5">
      <c r="B32" s="154" t="s">
        <v>187</v>
      </c>
      <c r="C32" s="160"/>
      <c r="D32" s="190"/>
      <c r="E32" s="214">
        <f>0.15/12</f>
        <v>0.012499999999999999</v>
      </c>
      <c r="F32" s="181"/>
      <c r="G32" s="181"/>
    </row>
    <row r="33" spans="2:7" ht="25.5">
      <c r="B33" s="163" t="s">
        <v>188</v>
      </c>
      <c r="C33" s="164"/>
      <c r="D33" s="197"/>
      <c r="E33" s="215">
        <f>0.03/12</f>
        <v>0.0025</v>
      </c>
      <c r="F33" s="181"/>
      <c r="G33" s="181"/>
    </row>
    <row r="34" spans="2:7" ht="25.5">
      <c r="B34" s="154" t="s">
        <v>189</v>
      </c>
      <c r="C34" s="160"/>
      <c r="D34" s="190"/>
      <c r="E34" s="214">
        <f>0.08/12</f>
        <v>0.006666666666666667</v>
      </c>
      <c r="F34" s="181"/>
      <c r="G34" s="181"/>
    </row>
    <row r="35" spans="2:7" ht="12.75">
      <c r="B35" s="154" t="s">
        <v>163</v>
      </c>
      <c r="C35" s="160"/>
      <c r="D35" s="190"/>
      <c r="E35" s="214">
        <v>0.65</v>
      </c>
      <c r="F35" s="181"/>
      <c r="G35" s="181"/>
    </row>
    <row r="36" spans="2:7" ht="13.5" thickBot="1">
      <c r="B36" s="157"/>
      <c r="C36" s="161"/>
      <c r="D36" s="158"/>
      <c r="E36" s="173"/>
      <c r="F36" s="147"/>
      <c r="G36" s="147"/>
    </row>
    <row r="37" spans="2:7" ht="12.75">
      <c r="B37" s="146"/>
      <c r="C37" s="146"/>
      <c r="D37" s="146"/>
      <c r="E37" s="146"/>
      <c r="F37" s="90"/>
      <c r="G37" s="90"/>
    </row>
    <row r="38" spans="2:7" ht="12.75">
      <c r="B38" s="76" t="s">
        <v>64</v>
      </c>
      <c r="C38" s="13"/>
      <c r="D38" s="146"/>
      <c r="E38" s="146"/>
      <c r="F38" s="90"/>
      <c r="G38" s="90"/>
    </row>
    <row r="39" spans="2:7" ht="12.75">
      <c r="B39" s="76" t="s">
        <v>66</v>
      </c>
      <c r="C39" s="13"/>
      <c r="E39" s="150"/>
      <c r="F39" s="90"/>
      <c r="G39" s="90"/>
    </row>
    <row r="40" spans="2:3" ht="12.75">
      <c r="B40" s="76" t="s">
        <v>65</v>
      </c>
      <c r="C40" s="13"/>
    </row>
    <row r="41" spans="2:3" ht="12.75">
      <c r="B41" s="88"/>
      <c r="C41" s="88"/>
    </row>
    <row r="42" spans="2:3" ht="12.75">
      <c r="B42" s="88"/>
      <c r="C42" s="88"/>
    </row>
    <row r="43" spans="2:3" ht="12.75">
      <c r="B43" s="88"/>
      <c r="C43" s="88"/>
    </row>
  </sheetData>
  <mergeCells count="1">
    <mergeCell ref="B3:C3"/>
  </mergeCells>
  <hyperlinks>
    <hyperlink ref="B38" r:id="rId1" display="Moritz@regnier.de"/>
    <hyperlink ref="B40" r:id="rId2" display="http://fhdw.regnier.de"/>
    <hyperlink ref="B39" r:id="rId3" display="http://moritz.regnier.d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4"/>
  <headerFooter alignWithMargins="0">
    <oddFooter>&amp;L&amp;8&amp;F &amp;A
Moritz Regnier&amp;R&amp;8&amp;D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B3:F36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112" customWidth="1"/>
    <col min="2" max="2" width="29.57421875" style="112" customWidth="1"/>
    <col min="3" max="11" width="13.140625" style="13" customWidth="1"/>
    <col min="12" max="66" width="12.7109375" style="13" customWidth="1"/>
    <col min="67" max="16384" width="14.28125" style="13" customWidth="1"/>
  </cols>
  <sheetData>
    <row r="1" ht="9.75" customHeight="1"/>
    <row r="2" ht="9.75" customHeight="1" thickBot="1"/>
    <row r="3" spans="2:3" ht="26.25" thickBot="1">
      <c r="B3" s="174" t="s">
        <v>166</v>
      </c>
      <c r="C3" s="169"/>
    </row>
    <row r="4" spans="2:3" ht="12.75">
      <c r="B4" s="49"/>
      <c r="C4" s="2" t="s">
        <v>181</v>
      </c>
    </row>
    <row r="5" spans="2:3" ht="12.75">
      <c r="B5" s="171" t="s">
        <v>172</v>
      </c>
      <c r="C5" s="5"/>
    </row>
    <row r="6" spans="2:3" ht="12.75">
      <c r="B6" s="51" t="s">
        <v>143</v>
      </c>
      <c r="C6" s="175">
        <f>'Finanzmodell Basis'!E5+'Finanzmodell Basis'!D6-'Finanzmodell Basis'!D7-Finanzmodell!C21</f>
        <v>98.75</v>
      </c>
    </row>
    <row r="7" spans="2:3" ht="12.75">
      <c r="B7" s="51" t="s">
        <v>144</v>
      </c>
      <c r="C7" s="176">
        <f>'Finanzmodell Basis'!E8+'Finanzmodell Basis'!D9-'Finanzmodell Basis'!D10-Finanzmodell!C22</f>
        <v>299.25</v>
      </c>
    </row>
    <row r="8" spans="2:3" ht="12.75">
      <c r="B8" s="51" t="s">
        <v>167</v>
      </c>
      <c r="C8" s="176">
        <f>'Finanzmodell Basis'!D13*'Finanzmodell Basis'!D11+'Finanzmodell Basis'!E13*'Finanzmodell Basis'!E11+'Finanzmodell Basis'!F13*'Finanzmodell Basis'!F11</f>
        <v>295</v>
      </c>
    </row>
    <row r="9" spans="2:6" ht="12.75">
      <c r="B9" s="172" t="s">
        <v>168</v>
      </c>
      <c r="C9" s="177">
        <f>'Finanzmodell Basis'!D16*'Finanzmodell Basis'!D14+'Finanzmodell Basis'!E16*'Finanzmodell Basis'!E14+'Finanzmodell Basis'!F16*'Finanzmodell Basis'!F14</f>
        <v>200</v>
      </c>
      <c r="D9" s="146"/>
      <c r="E9" s="147"/>
      <c r="F9" s="147"/>
    </row>
    <row r="10" spans="2:6" ht="12.75">
      <c r="B10" s="51" t="s">
        <v>151</v>
      </c>
      <c r="C10" s="178">
        <f>'Finanzmodell Basis'!E17+'Finanzmodell Basis'!D18-'Finanzmodell Basis'!D19</f>
        <v>500</v>
      </c>
      <c r="D10" s="146"/>
      <c r="E10" s="147"/>
      <c r="F10" s="147"/>
    </row>
    <row r="11" spans="2:6" ht="12.75">
      <c r="B11" s="51" t="s">
        <v>185</v>
      </c>
      <c r="C11" s="178">
        <f>'Finanzmodell Basis'!E20+Finanzmodell!C13-Finanzmodell!C14</f>
        <v>-83.33333333333337</v>
      </c>
      <c r="D11" s="148"/>
      <c r="E11" s="90"/>
      <c r="F11" s="90"/>
    </row>
    <row r="12" spans="2:6" ht="12.75">
      <c r="B12" s="51" t="s">
        <v>154</v>
      </c>
      <c r="C12" s="178">
        <f>'Finanzmodell Basis'!E21+'Finanzmodell Basis'!D22-'Finanzmodell Basis'!D23</f>
        <v>35</v>
      </c>
      <c r="D12" s="148"/>
      <c r="E12" s="90"/>
      <c r="F12" s="90"/>
    </row>
    <row r="13" spans="2:6" ht="12.75">
      <c r="B13" s="51" t="s">
        <v>169</v>
      </c>
      <c r="C13" s="178">
        <f>'Finanzmodell Basis'!D12*'Finanzmodell Basis'!D11+'Finanzmodell Basis'!E12*'Finanzmodell Basis'!E11+'Finanzmodell Basis'!F12*'Finanzmodell Basis'!F11+'Finanzmodell Basis'!D18</f>
        <v>265</v>
      </c>
      <c r="D13" s="146"/>
      <c r="E13" s="147"/>
      <c r="F13" s="147"/>
    </row>
    <row r="14" spans="2:6" ht="12.75">
      <c r="B14" s="51" t="s">
        <v>170</v>
      </c>
      <c r="C14" s="177">
        <f>'Finanzmodell Basis'!D15*'Finanzmodell Basis'!D14+'Finanzmodell Basis'!E15*'Finanzmodell Basis'!E14+'Finanzmodell Basis'!F15*'Finanzmodell Basis'!F14+Finanzmodell!C20+'Finanzmodell Basis'!D19+'Finanzmodell Basis'!E24</f>
        <v>358.33333333333337</v>
      </c>
      <c r="D14" s="146"/>
      <c r="E14" s="149"/>
      <c r="F14" s="149"/>
    </row>
    <row r="15" spans="2:6" ht="12.75">
      <c r="B15" s="51" t="s">
        <v>158</v>
      </c>
      <c r="C15" s="178">
        <f>'Finanzmodell Basis'!E28+Finanzmodell!C23-'Finanzmodell Basis'!D24</f>
        <v>149.66666666666666</v>
      </c>
      <c r="D15" s="146"/>
      <c r="E15" s="147"/>
      <c r="F15" s="147"/>
    </row>
    <row r="16" spans="2:6" ht="12.75">
      <c r="B16" s="172"/>
      <c r="C16" s="178"/>
      <c r="D16" s="146"/>
      <c r="E16" s="147"/>
      <c r="F16" s="147"/>
    </row>
    <row r="17" spans="2:6" ht="12.75">
      <c r="B17" s="171" t="s">
        <v>173</v>
      </c>
      <c r="C17" s="177"/>
      <c r="D17" s="146"/>
      <c r="E17" s="147"/>
      <c r="F17" s="147"/>
    </row>
    <row r="18" spans="2:6" ht="12.75">
      <c r="B18" s="51" t="s">
        <v>171</v>
      </c>
      <c r="C18" s="178">
        <f>(('Finanzmodell Basis'!D17+'Finanzmodell Basis'!E17)/2)*'Finanzmodell Basis'!E34</f>
        <v>3.3333333333333335</v>
      </c>
      <c r="D18" s="146"/>
      <c r="E18" s="147"/>
      <c r="F18" s="147"/>
    </row>
    <row r="19" spans="2:6" ht="12.75">
      <c r="B19" s="51" t="s">
        <v>174</v>
      </c>
      <c r="C19" s="178">
        <f>'Finanzmodell Basis'!D11*'Finanzmodell Basis'!E35</f>
        <v>195</v>
      </c>
      <c r="D19" s="146"/>
      <c r="E19" s="147"/>
      <c r="F19" s="147"/>
    </row>
    <row r="20" spans="2:6" ht="12.75">
      <c r="B20" s="51" t="s">
        <v>175</v>
      </c>
      <c r="C20" s="178">
        <f>C19+C18+'Finanzmodell Basis'!D29</f>
        <v>213.33333333333334</v>
      </c>
      <c r="D20" s="146"/>
      <c r="E20" s="149"/>
      <c r="F20" s="149"/>
    </row>
    <row r="21" spans="2:6" ht="12.75">
      <c r="B21" s="51" t="s">
        <v>176</v>
      </c>
      <c r="C21" s="178">
        <f>'Finanzmodell Basis'!E5*'Finanzmodell Basis'!E32</f>
        <v>1.25</v>
      </c>
      <c r="D21" s="146"/>
      <c r="E21" s="149"/>
      <c r="F21" s="149"/>
    </row>
    <row r="22" spans="2:6" ht="12.75">
      <c r="B22" s="51" t="s">
        <v>177</v>
      </c>
      <c r="C22" s="178">
        <f>'Finanzmodell Basis'!E8*'Finanzmodell Basis'!E33</f>
        <v>0.75</v>
      </c>
      <c r="D22" s="146"/>
      <c r="E22" s="149"/>
      <c r="F22" s="149"/>
    </row>
    <row r="23" spans="2:6" ht="12.75">
      <c r="B23" s="51" t="s">
        <v>178</v>
      </c>
      <c r="C23" s="178">
        <f>'Finanzmodell Basis'!D11-'Finanzmodell Basis'!D30-Finanzmodell!C20-Finanzmodell!C21-Finanzmodell!C22</f>
        <v>49.66666666666666</v>
      </c>
      <c r="D23" s="148"/>
      <c r="E23" s="147"/>
      <c r="F23" s="147"/>
    </row>
    <row r="24" spans="2:6" ht="13.5" thickBot="1">
      <c r="B24" s="53"/>
      <c r="C24" s="173"/>
      <c r="D24" s="146"/>
      <c r="E24" s="147"/>
      <c r="F24" s="147"/>
    </row>
    <row r="25" spans="3:6" ht="12.75">
      <c r="C25" s="146"/>
      <c r="D25" s="148"/>
      <c r="E25" s="147"/>
      <c r="F25" s="147"/>
    </row>
    <row r="26" spans="2:6" ht="12.75">
      <c r="B26" s="76" t="s">
        <v>64</v>
      </c>
      <c r="D26" s="148"/>
      <c r="E26" s="147"/>
      <c r="F26" s="147"/>
    </row>
    <row r="27" spans="2:6" ht="12.75">
      <c r="B27" s="76" t="s">
        <v>66</v>
      </c>
      <c r="D27" s="146"/>
      <c r="E27" s="90"/>
      <c r="F27" s="90"/>
    </row>
    <row r="28" spans="2:6" ht="12.75">
      <c r="B28" s="76" t="s">
        <v>65</v>
      </c>
      <c r="D28" s="146"/>
      <c r="E28" s="147"/>
      <c r="F28" s="147"/>
    </row>
    <row r="29" spans="3:6" ht="12.75">
      <c r="C29" s="146"/>
      <c r="D29" s="146"/>
      <c r="E29" s="147"/>
      <c r="F29" s="147"/>
    </row>
    <row r="30" spans="3:6" ht="12.75">
      <c r="C30" s="146"/>
      <c r="D30" s="146"/>
      <c r="E30" s="90"/>
      <c r="F30" s="90"/>
    </row>
    <row r="31" spans="3:6" ht="12.75">
      <c r="C31" s="146"/>
      <c r="D31" s="146"/>
      <c r="E31" s="90"/>
      <c r="F31" s="90"/>
    </row>
    <row r="32" spans="4:6" ht="12.75">
      <c r="D32" s="150"/>
      <c r="E32" s="90"/>
      <c r="F32" s="90"/>
    </row>
    <row r="34" ht="12.75">
      <c r="B34" s="88"/>
    </row>
    <row r="35" ht="12.75">
      <c r="B35" s="88"/>
    </row>
    <row r="36" ht="12.75">
      <c r="B36" s="88"/>
    </row>
  </sheetData>
  <hyperlinks>
    <hyperlink ref="B26" r:id="rId1" display="Moritz@regnier.de"/>
    <hyperlink ref="B28" r:id="rId2" display="http://fhdw.regnier.de"/>
    <hyperlink ref="B27" r:id="rId3" display="http://moritz.regnier.d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5"/>
  <headerFooter alignWithMargins="0">
    <oddFooter>&amp;L&amp;8&amp;F &amp;A
Moritz Regnier&amp;R&amp;8&amp;D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BilanzanalyseTool</dc:title>
  <dc:subject/>
  <dc:creator>Moritz Regnier</dc:creator>
  <cp:keywords/>
  <dc:description/>
  <cp:lastModifiedBy>Moritz Regnier</cp:lastModifiedBy>
  <cp:lastPrinted>2002-02-11T01:39:46Z</cp:lastPrinted>
  <dcterms:created xsi:type="dcterms:W3CDTF">2002-02-10T15:17:58Z</dcterms:created>
  <dcterms:modified xsi:type="dcterms:W3CDTF">2002-02-24T00:56:02Z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